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ropbox\ナンキ企画営業部\商品管理\ナンキ在庫管理\"/>
    </mc:Choice>
  </mc:AlternateContent>
  <xr:revisionPtr revIDLastSave="0" documentId="13_ncr:1_{0D132114-B9C3-4889-8C06-ED6625A8278A}" xr6:coauthVersionLast="47" xr6:coauthVersionMax="47" xr10:uidLastSave="{00000000-0000-0000-0000-000000000000}"/>
  <bookViews>
    <workbookView xWindow="-108" yWindow="-108" windowWidth="23256" windowHeight="12456" tabRatio="649" activeTab="1" xr2:uid="{00000000-000D-0000-FFFF-FFFF00000000}"/>
  </bookViews>
  <sheets>
    <sheet name="8年1月" sheetId="160" r:id="rId1"/>
    <sheet name="7年12月" sheetId="159" r:id="rId2"/>
    <sheet name="7年11月" sheetId="158" r:id="rId3"/>
    <sheet name="7年10月" sheetId="157" r:id="rId4"/>
    <sheet name="7年9月" sheetId="156" r:id="rId5"/>
    <sheet name="7年8月" sheetId="155" r:id="rId6"/>
    <sheet name="7年7月" sheetId="154" r:id="rId7"/>
    <sheet name="7年6月" sheetId="153" r:id="rId8"/>
    <sheet name="7年5月" sheetId="152" r:id="rId9"/>
    <sheet name="7年4月" sheetId="150" r:id="rId10"/>
    <sheet name="7年3月" sheetId="146" r:id="rId11"/>
    <sheet name="7年2月" sheetId="143" r:id="rId12"/>
    <sheet name="7年1月" sheetId="142" r:id="rId13"/>
    <sheet name="丸千(玉子)注文" sheetId="151" r:id="rId14"/>
    <sheet name="日能産業発注" sheetId="77" r:id="rId15"/>
    <sheet name="庭野追加" sheetId="120" r:id="rId16"/>
    <sheet name="大治追加" sheetId="131" r:id="rId17"/>
    <sheet name="八治追加 " sheetId="122" r:id="rId18"/>
    <sheet name="定貞追加 " sheetId="121" r:id="rId19"/>
    <sheet name="入船追加" sheetId="140" r:id="rId20"/>
    <sheet name="末広追加 " sheetId="125" r:id="rId21"/>
    <sheet name="東梅追加" sheetId="132" r:id="rId22"/>
    <sheet name="松武追加 " sheetId="123" r:id="rId23"/>
    <sheet name="中延追加" sheetId="2" r:id="rId24"/>
    <sheet name="庭野予約" sheetId="72" r:id="rId25"/>
    <sheet name="松武予約" sheetId="98" r:id="rId26"/>
    <sheet name="定貞予約" sheetId="135" r:id="rId27"/>
    <sheet name="大治予約" sheetId="147" r:id="rId28"/>
    <sheet name="アクティブ（カットわかめ）" sheetId="102" r:id="rId29"/>
    <sheet name="カットキャンセル" sheetId="71" r:id="rId30"/>
    <sheet name="紫金カット" sheetId="53" r:id="rId31"/>
    <sheet name="ファーム予約" sheetId="83" r:id="rId32"/>
    <sheet name="Sheet3" sheetId="3" r:id="rId33"/>
    <sheet name="Sheet2" sheetId="144" r:id="rId34"/>
    <sheet name="Sheet1" sheetId="108" r:id="rId35"/>
  </sheets>
  <definedNames>
    <definedName name="_xlnm.Print_Area" localSheetId="3">'7年10月'!$A$1:$CU$94</definedName>
    <definedName name="_xlnm.Print_Area" localSheetId="2">'7年11月'!$A$1:$CO$94</definedName>
    <definedName name="_xlnm.Print_Area" localSheetId="1">'7年12月'!$A$1:$CR$94</definedName>
    <definedName name="_xlnm.Print_Area" localSheetId="12">'7年1月'!$A$1:$DE$93</definedName>
    <definedName name="_xlnm.Print_Area" localSheetId="11">'7年2月'!$A$1:$DE$93</definedName>
    <definedName name="_xlnm.Print_Area" localSheetId="10">'7年3月'!$A$1:$CU$93</definedName>
    <definedName name="_xlnm.Print_Area" localSheetId="9">'7年4月'!$A$1:$CO$93</definedName>
    <definedName name="_xlnm.Print_Area" localSheetId="8">'7年5月'!$A$1:$CU$93</definedName>
    <definedName name="_xlnm.Print_Area" localSheetId="7">'7年6月'!$A$1:$CR$93</definedName>
    <definedName name="_xlnm.Print_Area" localSheetId="6">'7年7月'!$A$1:$CU$93</definedName>
    <definedName name="_xlnm.Print_Area" localSheetId="5">'7年8月'!$A$1:$CR$93</definedName>
    <definedName name="_xlnm.Print_Area" localSheetId="4">'7年9月'!$A$1:$CR$93</definedName>
    <definedName name="_xlnm.Print_Area" localSheetId="0">'8年1月'!$A$1:$U$94</definedName>
    <definedName name="_xlnm.Print_Area" localSheetId="28">'アクティブ（カットわかめ）'!$A$1:$G$35</definedName>
    <definedName name="_xlnm.Print_Area" localSheetId="31">ファーム予約!$A$1:$G$35</definedName>
    <definedName name="_xlnm.Print_Area" localSheetId="13">'丸千(玉子)注文'!$A$1:$G$35</definedName>
    <definedName name="_xlnm.Print_Area" localSheetId="30">紫金カット!$A$1:$G$35</definedName>
    <definedName name="_xlnm.Print_Area" localSheetId="22">'松武追加 '!$A$1:$H$25</definedName>
    <definedName name="_xlnm.Print_Area" localSheetId="25">松武予約!$A$1:$H$33</definedName>
    <definedName name="_xlnm.Print_Area" localSheetId="16">大治追加!$A$1:$H$25</definedName>
    <definedName name="_xlnm.Print_Area" localSheetId="27">大治予約!$A$1:$H$32</definedName>
    <definedName name="_xlnm.Print_Area" localSheetId="18">'定貞追加 '!$A$1:$H$25</definedName>
    <definedName name="_xlnm.Print_Area" localSheetId="26">定貞予約!$A$1:$H$33</definedName>
    <definedName name="_xlnm.Print_Area" localSheetId="15">庭野追加!$A$1:$H$25</definedName>
    <definedName name="_xlnm.Print_Area" localSheetId="24">庭野予約!$A$1:$H$32</definedName>
    <definedName name="_xlnm.Print_Area" localSheetId="21">東梅追加!$A$1:$H$25</definedName>
    <definedName name="_xlnm.Print_Area" localSheetId="14">日能産業発注!$A$1:$H$34</definedName>
    <definedName name="_xlnm.Print_Area" localSheetId="19">入船追加!$A$1:$H$25</definedName>
    <definedName name="_xlnm.Print_Area" localSheetId="17">'八治追加 '!$A$1:$H$26</definedName>
    <definedName name="_xlnm.Print_Area" localSheetId="20">'末広追加 '!$A$1:$H$25</definedName>
    <definedName name="_xlnm.Print_Titles" localSheetId="3">'7年10月'!$3:$4</definedName>
    <definedName name="_xlnm.Print_Titles" localSheetId="2">'7年11月'!$3:$4</definedName>
    <definedName name="_xlnm.Print_Titles" localSheetId="1">'7年12月'!$3:$4</definedName>
    <definedName name="_xlnm.Print_Titles" localSheetId="12">'7年1月'!$3:$4</definedName>
    <definedName name="_xlnm.Print_Titles" localSheetId="11">'7年2月'!$3:$4</definedName>
    <definedName name="_xlnm.Print_Titles" localSheetId="10">'7年3月'!$3:$4</definedName>
    <definedName name="_xlnm.Print_Titles" localSheetId="9">'7年4月'!$3:$4</definedName>
    <definedName name="_xlnm.Print_Titles" localSheetId="8">'7年5月'!$3:$4</definedName>
    <definedName name="_xlnm.Print_Titles" localSheetId="7">'7年6月'!$3:$4</definedName>
    <definedName name="_xlnm.Print_Titles" localSheetId="6">'7年7月'!$3:$4</definedName>
    <definedName name="_xlnm.Print_Titles" localSheetId="5">'7年8月'!$3:$4</definedName>
    <definedName name="_xlnm.Print_Titles" localSheetId="4">'7年9月'!$3:$4</definedName>
    <definedName name="_xlnm.Print_Titles" localSheetId="0">'8年1月'!$3:$4</definedName>
  </definedNames>
  <calcPr calcId="191029"/>
</workbook>
</file>

<file path=xl/calcChain.xml><?xml version="1.0" encoding="utf-8"?>
<calcChain xmlns="http://schemas.openxmlformats.org/spreadsheetml/2006/main">
  <c r="T63" i="160" l="1"/>
  <c r="T59" i="160"/>
  <c r="T17" i="160"/>
  <c r="CW17" i="160" s="1"/>
  <c r="T29" i="160"/>
  <c r="T39" i="160"/>
  <c r="CW39" i="160" s="1"/>
  <c r="T12" i="160"/>
  <c r="T27" i="160"/>
  <c r="T40" i="160"/>
  <c r="T25" i="160"/>
  <c r="T16" i="160"/>
  <c r="T14" i="160"/>
  <c r="T58" i="160"/>
  <c r="CW58" i="160" s="1"/>
  <c r="V77" i="160"/>
  <c r="CV77" i="160" s="1"/>
  <c r="T77" i="160"/>
  <c r="CW40" i="160"/>
  <c r="T6" i="160"/>
  <c r="T22" i="160"/>
  <c r="T19" i="160"/>
  <c r="CW19" i="160" s="1"/>
  <c r="T48" i="160"/>
  <c r="T15" i="160"/>
  <c r="T72" i="160"/>
  <c r="CW6" i="160"/>
  <c r="T71" i="160"/>
  <c r="CW71" i="160" s="1"/>
  <c r="T24" i="160"/>
  <c r="CW24" i="160" s="1"/>
  <c r="T13" i="160"/>
  <c r="T60" i="160"/>
  <c r="CW15" i="160"/>
  <c r="CP77" i="159"/>
  <c r="M36" i="160"/>
  <c r="N36" i="160"/>
  <c r="N29" i="160"/>
  <c r="CN40" i="159"/>
  <c r="CN27" i="159"/>
  <c r="CM12" i="159"/>
  <c r="CM36" i="159"/>
  <c r="CQ36" i="159"/>
  <c r="CQ59" i="159"/>
  <c r="CM53" i="159"/>
  <c r="CQ53" i="159"/>
  <c r="CQ14" i="159"/>
  <c r="CQ39" i="159"/>
  <c r="CQ29" i="159"/>
  <c r="CM29" i="159"/>
  <c r="CM17" i="159"/>
  <c r="CM59" i="159"/>
  <c r="CQ13" i="159"/>
  <c r="CQ48" i="159"/>
  <c r="CQ76" i="159"/>
  <c r="CQ63" i="159"/>
  <c r="CQ17" i="159"/>
  <c r="CQ12" i="159"/>
  <c r="CN81" i="159"/>
  <c r="CN60" i="159"/>
  <c r="CN59" i="159"/>
  <c r="CN16" i="159"/>
  <c r="CN48" i="159"/>
  <c r="CN36" i="159"/>
  <c r="CN25" i="159"/>
  <c r="CN6" i="159"/>
  <c r="CN76" i="159"/>
  <c r="CN63" i="159"/>
  <c r="CN17" i="159"/>
  <c r="CN29" i="159"/>
  <c r="CN39" i="159"/>
  <c r="CN12" i="159"/>
  <c r="CW94" i="160"/>
  <c r="CV94" i="160"/>
  <c r="I94" i="160"/>
  <c r="L94" i="160" s="1"/>
  <c r="O94" i="160" s="1"/>
  <c r="R94" i="160" s="1"/>
  <c r="U94" i="160" s="1"/>
  <c r="X94" i="160" s="1"/>
  <c r="AA94" i="160" s="1"/>
  <c r="AD94" i="160" s="1"/>
  <c r="AG94" i="160" s="1"/>
  <c r="AJ94" i="160" s="1"/>
  <c r="AM94" i="160" s="1"/>
  <c r="AP94" i="160" s="1"/>
  <c r="AS94" i="160" s="1"/>
  <c r="AV94" i="160" s="1"/>
  <c r="AY94" i="160" s="1"/>
  <c r="BB94" i="160" s="1"/>
  <c r="BE94" i="160" s="1"/>
  <c r="BH94" i="160" s="1"/>
  <c r="BK94" i="160" s="1"/>
  <c r="BN94" i="160" s="1"/>
  <c r="BQ94" i="160" s="1"/>
  <c r="BT94" i="160" s="1"/>
  <c r="BW94" i="160" s="1"/>
  <c r="BZ94" i="160" s="1"/>
  <c r="CC94" i="160" s="1"/>
  <c r="CF94" i="160" s="1"/>
  <c r="CI94" i="160" s="1"/>
  <c r="CL94" i="160" s="1"/>
  <c r="CO94" i="160" s="1"/>
  <c r="CR94" i="160" s="1"/>
  <c r="CU94" i="160" s="1"/>
  <c r="CW93" i="160"/>
  <c r="CV93" i="160"/>
  <c r="I93" i="160"/>
  <c r="L93" i="160" s="1"/>
  <c r="O93" i="160" s="1"/>
  <c r="R93" i="160" s="1"/>
  <c r="U93" i="160" s="1"/>
  <c r="X93" i="160" s="1"/>
  <c r="AA93" i="160" s="1"/>
  <c r="AD93" i="160" s="1"/>
  <c r="AG93" i="160" s="1"/>
  <c r="AJ93" i="160" s="1"/>
  <c r="AM93" i="160" s="1"/>
  <c r="AP93" i="160" s="1"/>
  <c r="AS93" i="160" s="1"/>
  <c r="AV93" i="160" s="1"/>
  <c r="AY93" i="160" s="1"/>
  <c r="BB93" i="160" s="1"/>
  <c r="BE93" i="160" s="1"/>
  <c r="BH93" i="160" s="1"/>
  <c r="BK93" i="160" s="1"/>
  <c r="BN93" i="160" s="1"/>
  <c r="BQ93" i="160" s="1"/>
  <c r="BT93" i="160" s="1"/>
  <c r="BW93" i="160" s="1"/>
  <c r="BZ93" i="160" s="1"/>
  <c r="CC93" i="160" s="1"/>
  <c r="CF93" i="160" s="1"/>
  <c r="CI93" i="160" s="1"/>
  <c r="CL93" i="160" s="1"/>
  <c r="CO93" i="160" s="1"/>
  <c r="CR93" i="160" s="1"/>
  <c r="CU93" i="160" s="1"/>
  <c r="CW92" i="160"/>
  <c r="CV92" i="160"/>
  <c r="I92" i="160"/>
  <c r="L92" i="160" s="1"/>
  <c r="O92" i="160" s="1"/>
  <c r="R92" i="160" s="1"/>
  <c r="U92" i="160" s="1"/>
  <c r="X92" i="160" s="1"/>
  <c r="AA92" i="160" s="1"/>
  <c r="AD92" i="160" s="1"/>
  <c r="AG92" i="160" s="1"/>
  <c r="AJ92" i="160" s="1"/>
  <c r="AM92" i="160" s="1"/>
  <c r="AP92" i="160" s="1"/>
  <c r="AS92" i="160" s="1"/>
  <c r="AV92" i="160" s="1"/>
  <c r="AY92" i="160" s="1"/>
  <c r="BB92" i="160" s="1"/>
  <c r="BE92" i="160" s="1"/>
  <c r="BH92" i="160" s="1"/>
  <c r="BK92" i="160" s="1"/>
  <c r="BN92" i="160" s="1"/>
  <c r="BQ92" i="160" s="1"/>
  <c r="BT92" i="160" s="1"/>
  <c r="BW92" i="160" s="1"/>
  <c r="BZ92" i="160" s="1"/>
  <c r="CC92" i="160" s="1"/>
  <c r="CF92" i="160" s="1"/>
  <c r="CI92" i="160" s="1"/>
  <c r="CL92" i="160" s="1"/>
  <c r="CO92" i="160" s="1"/>
  <c r="CR92" i="160" s="1"/>
  <c r="CU92" i="160" s="1"/>
  <c r="CW91" i="160"/>
  <c r="CV91" i="160"/>
  <c r="I91" i="160"/>
  <c r="L91" i="160" s="1"/>
  <c r="O91" i="160" s="1"/>
  <c r="R91" i="160" s="1"/>
  <c r="U91" i="160" s="1"/>
  <c r="X91" i="160" s="1"/>
  <c r="AA91" i="160" s="1"/>
  <c r="AD91" i="160" s="1"/>
  <c r="AG91" i="160" s="1"/>
  <c r="AJ91" i="160" s="1"/>
  <c r="AM91" i="160" s="1"/>
  <c r="AP91" i="160" s="1"/>
  <c r="AS91" i="160" s="1"/>
  <c r="AV91" i="160" s="1"/>
  <c r="AY91" i="160" s="1"/>
  <c r="BB91" i="160" s="1"/>
  <c r="BE91" i="160" s="1"/>
  <c r="BH91" i="160" s="1"/>
  <c r="BK91" i="160" s="1"/>
  <c r="BN91" i="160" s="1"/>
  <c r="BQ91" i="160" s="1"/>
  <c r="BT91" i="160" s="1"/>
  <c r="BW91" i="160" s="1"/>
  <c r="BZ91" i="160" s="1"/>
  <c r="CC91" i="160" s="1"/>
  <c r="CF91" i="160" s="1"/>
  <c r="CI91" i="160" s="1"/>
  <c r="CL91" i="160" s="1"/>
  <c r="CO91" i="160" s="1"/>
  <c r="CR91" i="160" s="1"/>
  <c r="CU91" i="160" s="1"/>
  <c r="CW90" i="160"/>
  <c r="CV90" i="160"/>
  <c r="I90" i="160"/>
  <c r="L90" i="160" s="1"/>
  <c r="O90" i="160" s="1"/>
  <c r="R90" i="160" s="1"/>
  <c r="U90" i="160" s="1"/>
  <c r="X90" i="160" s="1"/>
  <c r="AA90" i="160" s="1"/>
  <c r="AD90" i="160" s="1"/>
  <c r="AG90" i="160" s="1"/>
  <c r="AJ90" i="160" s="1"/>
  <c r="AM90" i="160" s="1"/>
  <c r="AP90" i="160" s="1"/>
  <c r="AS90" i="160" s="1"/>
  <c r="AV90" i="160" s="1"/>
  <c r="AY90" i="160" s="1"/>
  <c r="BB90" i="160" s="1"/>
  <c r="BE90" i="160" s="1"/>
  <c r="BH90" i="160" s="1"/>
  <c r="BK90" i="160" s="1"/>
  <c r="BN90" i="160" s="1"/>
  <c r="BQ90" i="160" s="1"/>
  <c r="BT90" i="160" s="1"/>
  <c r="BW90" i="160" s="1"/>
  <c r="BZ90" i="160" s="1"/>
  <c r="CC90" i="160" s="1"/>
  <c r="CF90" i="160" s="1"/>
  <c r="CI90" i="160" s="1"/>
  <c r="CL90" i="160" s="1"/>
  <c r="CO90" i="160" s="1"/>
  <c r="CR90" i="160" s="1"/>
  <c r="CU90" i="160" s="1"/>
  <c r="CW89" i="160"/>
  <c r="CV89" i="160"/>
  <c r="I89" i="160"/>
  <c r="L89" i="160" s="1"/>
  <c r="O89" i="160" s="1"/>
  <c r="R89" i="160" s="1"/>
  <c r="U89" i="160" s="1"/>
  <c r="X89" i="160" s="1"/>
  <c r="AA89" i="160" s="1"/>
  <c r="AD89" i="160" s="1"/>
  <c r="AG89" i="160" s="1"/>
  <c r="AJ89" i="160" s="1"/>
  <c r="AM89" i="160" s="1"/>
  <c r="AP89" i="160" s="1"/>
  <c r="AS89" i="160" s="1"/>
  <c r="AV89" i="160" s="1"/>
  <c r="AY89" i="160" s="1"/>
  <c r="BB89" i="160" s="1"/>
  <c r="BE89" i="160" s="1"/>
  <c r="BH89" i="160" s="1"/>
  <c r="BK89" i="160" s="1"/>
  <c r="BN89" i="160" s="1"/>
  <c r="BQ89" i="160" s="1"/>
  <c r="BT89" i="160" s="1"/>
  <c r="BW89" i="160" s="1"/>
  <c r="BZ89" i="160" s="1"/>
  <c r="CC89" i="160" s="1"/>
  <c r="CF89" i="160" s="1"/>
  <c r="CI89" i="160" s="1"/>
  <c r="CL89" i="160" s="1"/>
  <c r="CO89" i="160" s="1"/>
  <c r="CR89" i="160" s="1"/>
  <c r="CU89" i="160" s="1"/>
  <c r="CW88" i="160"/>
  <c r="CV88" i="160"/>
  <c r="I88" i="160"/>
  <c r="L88" i="160" s="1"/>
  <c r="O88" i="160" s="1"/>
  <c r="R88" i="160" s="1"/>
  <c r="U88" i="160" s="1"/>
  <c r="X88" i="160" s="1"/>
  <c r="AA88" i="160" s="1"/>
  <c r="AD88" i="160" s="1"/>
  <c r="AG88" i="160" s="1"/>
  <c r="AJ88" i="160" s="1"/>
  <c r="AM88" i="160" s="1"/>
  <c r="AP88" i="160" s="1"/>
  <c r="AS88" i="160" s="1"/>
  <c r="AV88" i="160" s="1"/>
  <c r="AY88" i="160" s="1"/>
  <c r="BB88" i="160" s="1"/>
  <c r="BE88" i="160" s="1"/>
  <c r="BH88" i="160" s="1"/>
  <c r="BK88" i="160" s="1"/>
  <c r="BN88" i="160" s="1"/>
  <c r="BQ88" i="160" s="1"/>
  <c r="BT88" i="160" s="1"/>
  <c r="BW88" i="160" s="1"/>
  <c r="BZ88" i="160" s="1"/>
  <c r="CC88" i="160" s="1"/>
  <c r="CF88" i="160" s="1"/>
  <c r="CI88" i="160" s="1"/>
  <c r="CL88" i="160" s="1"/>
  <c r="CO88" i="160" s="1"/>
  <c r="CR88" i="160" s="1"/>
  <c r="CU88" i="160" s="1"/>
  <c r="CW87" i="160"/>
  <c r="CV87" i="160"/>
  <c r="I87" i="160"/>
  <c r="L87" i="160" s="1"/>
  <c r="O87" i="160" s="1"/>
  <c r="R87" i="160" s="1"/>
  <c r="U87" i="160" s="1"/>
  <c r="X87" i="160" s="1"/>
  <c r="AA87" i="160" s="1"/>
  <c r="AD87" i="160" s="1"/>
  <c r="AG87" i="160" s="1"/>
  <c r="AJ87" i="160" s="1"/>
  <c r="AM87" i="160" s="1"/>
  <c r="AP87" i="160" s="1"/>
  <c r="AS87" i="160" s="1"/>
  <c r="AV87" i="160" s="1"/>
  <c r="AY87" i="160" s="1"/>
  <c r="BB87" i="160" s="1"/>
  <c r="BE87" i="160" s="1"/>
  <c r="BH87" i="160" s="1"/>
  <c r="BK87" i="160" s="1"/>
  <c r="BN87" i="160" s="1"/>
  <c r="BQ87" i="160" s="1"/>
  <c r="BT87" i="160" s="1"/>
  <c r="BW87" i="160" s="1"/>
  <c r="BZ87" i="160" s="1"/>
  <c r="CC87" i="160" s="1"/>
  <c r="CF87" i="160" s="1"/>
  <c r="CI87" i="160" s="1"/>
  <c r="CL87" i="160" s="1"/>
  <c r="CO87" i="160" s="1"/>
  <c r="CR87" i="160" s="1"/>
  <c r="CU87" i="160" s="1"/>
  <c r="CW86" i="160"/>
  <c r="CV86" i="160"/>
  <c r="I86" i="160"/>
  <c r="L86" i="160" s="1"/>
  <c r="O86" i="160" s="1"/>
  <c r="R86" i="160" s="1"/>
  <c r="U86" i="160" s="1"/>
  <c r="X86" i="160" s="1"/>
  <c r="AA86" i="160" s="1"/>
  <c r="AD86" i="160" s="1"/>
  <c r="AG86" i="160" s="1"/>
  <c r="AJ86" i="160" s="1"/>
  <c r="AM86" i="160" s="1"/>
  <c r="AP86" i="160" s="1"/>
  <c r="AS86" i="160" s="1"/>
  <c r="AV86" i="160" s="1"/>
  <c r="AY86" i="160" s="1"/>
  <c r="BB86" i="160" s="1"/>
  <c r="BE86" i="160" s="1"/>
  <c r="BH86" i="160" s="1"/>
  <c r="BK86" i="160" s="1"/>
  <c r="BN86" i="160" s="1"/>
  <c r="BQ86" i="160" s="1"/>
  <c r="BT86" i="160" s="1"/>
  <c r="BW86" i="160" s="1"/>
  <c r="BZ86" i="160" s="1"/>
  <c r="CC86" i="160" s="1"/>
  <c r="CF86" i="160" s="1"/>
  <c r="CI86" i="160" s="1"/>
  <c r="CL86" i="160" s="1"/>
  <c r="CO86" i="160" s="1"/>
  <c r="CR86" i="160" s="1"/>
  <c r="CU86" i="160" s="1"/>
  <c r="CW85" i="160"/>
  <c r="CV85" i="160"/>
  <c r="I85" i="160"/>
  <c r="L85" i="160" s="1"/>
  <c r="O85" i="160" s="1"/>
  <c r="R85" i="160" s="1"/>
  <c r="U85" i="160" s="1"/>
  <c r="X85" i="160" s="1"/>
  <c r="AA85" i="160" s="1"/>
  <c r="AD85" i="160" s="1"/>
  <c r="AG85" i="160" s="1"/>
  <c r="AJ85" i="160" s="1"/>
  <c r="AM85" i="160" s="1"/>
  <c r="AP85" i="160" s="1"/>
  <c r="AS85" i="160" s="1"/>
  <c r="AV85" i="160" s="1"/>
  <c r="AY85" i="160" s="1"/>
  <c r="BB85" i="160" s="1"/>
  <c r="BE85" i="160" s="1"/>
  <c r="BH85" i="160" s="1"/>
  <c r="BK85" i="160" s="1"/>
  <c r="BN85" i="160" s="1"/>
  <c r="BQ85" i="160" s="1"/>
  <c r="BT85" i="160" s="1"/>
  <c r="BW85" i="160" s="1"/>
  <c r="BZ85" i="160" s="1"/>
  <c r="CC85" i="160" s="1"/>
  <c r="CF85" i="160" s="1"/>
  <c r="CI85" i="160" s="1"/>
  <c r="CL85" i="160" s="1"/>
  <c r="CO85" i="160" s="1"/>
  <c r="CR85" i="160" s="1"/>
  <c r="CU85" i="160" s="1"/>
  <c r="CV84" i="160"/>
  <c r="CW84" i="160"/>
  <c r="I84" i="160"/>
  <c r="L84" i="160" s="1"/>
  <c r="O84" i="160" s="1"/>
  <c r="R84" i="160" s="1"/>
  <c r="U84" i="160" s="1"/>
  <c r="X84" i="160" s="1"/>
  <c r="AA84" i="160" s="1"/>
  <c r="AD84" i="160" s="1"/>
  <c r="AG84" i="160" s="1"/>
  <c r="AJ84" i="160" s="1"/>
  <c r="AM84" i="160" s="1"/>
  <c r="AP84" i="160" s="1"/>
  <c r="AS84" i="160" s="1"/>
  <c r="AV84" i="160" s="1"/>
  <c r="AY84" i="160" s="1"/>
  <c r="BB84" i="160" s="1"/>
  <c r="BE84" i="160" s="1"/>
  <c r="BH84" i="160" s="1"/>
  <c r="BK84" i="160" s="1"/>
  <c r="BN84" i="160" s="1"/>
  <c r="BQ84" i="160" s="1"/>
  <c r="BT84" i="160" s="1"/>
  <c r="BW84" i="160" s="1"/>
  <c r="BZ84" i="160" s="1"/>
  <c r="CC84" i="160" s="1"/>
  <c r="CF84" i="160" s="1"/>
  <c r="CI84" i="160" s="1"/>
  <c r="CL84" i="160" s="1"/>
  <c r="CO84" i="160" s="1"/>
  <c r="CR84" i="160" s="1"/>
  <c r="CU84" i="160" s="1"/>
  <c r="CV83" i="160"/>
  <c r="CW83" i="160"/>
  <c r="I83" i="160"/>
  <c r="L83" i="160" s="1"/>
  <c r="O83" i="160" s="1"/>
  <c r="R83" i="160" s="1"/>
  <c r="U83" i="160" s="1"/>
  <c r="X83" i="160" s="1"/>
  <c r="AA83" i="160" s="1"/>
  <c r="AD83" i="160" s="1"/>
  <c r="AG83" i="160" s="1"/>
  <c r="AJ83" i="160" s="1"/>
  <c r="AM83" i="160" s="1"/>
  <c r="AP83" i="160" s="1"/>
  <c r="AS83" i="160" s="1"/>
  <c r="AV83" i="160" s="1"/>
  <c r="AY83" i="160" s="1"/>
  <c r="BB83" i="160" s="1"/>
  <c r="BE83" i="160" s="1"/>
  <c r="BH83" i="160" s="1"/>
  <c r="BK83" i="160" s="1"/>
  <c r="BN83" i="160" s="1"/>
  <c r="BQ83" i="160" s="1"/>
  <c r="BT83" i="160" s="1"/>
  <c r="BW83" i="160" s="1"/>
  <c r="BZ83" i="160" s="1"/>
  <c r="CC83" i="160" s="1"/>
  <c r="CF83" i="160" s="1"/>
  <c r="CI83" i="160" s="1"/>
  <c r="CL83" i="160" s="1"/>
  <c r="CO83" i="160" s="1"/>
  <c r="CR83" i="160" s="1"/>
  <c r="CU83" i="160" s="1"/>
  <c r="CV82" i="160"/>
  <c r="CW82" i="160"/>
  <c r="I82" i="160"/>
  <c r="L82" i="160" s="1"/>
  <c r="O82" i="160" s="1"/>
  <c r="R82" i="160" s="1"/>
  <c r="U82" i="160" s="1"/>
  <c r="X82" i="160" s="1"/>
  <c r="AA82" i="160" s="1"/>
  <c r="AD82" i="160" s="1"/>
  <c r="AG82" i="160" s="1"/>
  <c r="AJ82" i="160" s="1"/>
  <c r="AM82" i="160" s="1"/>
  <c r="AP82" i="160" s="1"/>
  <c r="AS82" i="160" s="1"/>
  <c r="AV82" i="160" s="1"/>
  <c r="AY82" i="160" s="1"/>
  <c r="BB82" i="160" s="1"/>
  <c r="BE82" i="160" s="1"/>
  <c r="BH82" i="160" s="1"/>
  <c r="BK82" i="160" s="1"/>
  <c r="BN82" i="160" s="1"/>
  <c r="BQ82" i="160" s="1"/>
  <c r="BT82" i="160" s="1"/>
  <c r="BW82" i="160" s="1"/>
  <c r="BZ82" i="160" s="1"/>
  <c r="CC82" i="160" s="1"/>
  <c r="CF82" i="160" s="1"/>
  <c r="CI82" i="160" s="1"/>
  <c r="CL82" i="160" s="1"/>
  <c r="CO82" i="160" s="1"/>
  <c r="CR82" i="160" s="1"/>
  <c r="CU82" i="160" s="1"/>
  <c r="CW81" i="160"/>
  <c r="CV81" i="160"/>
  <c r="I81" i="160"/>
  <c r="L81" i="160" s="1"/>
  <c r="O81" i="160" s="1"/>
  <c r="R81" i="160" s="1"/>
  <c r="U81" i="160" s="1"/>
  <c r="X81" i="160" s="1"/>
  <c r="AA81" i="160" s="1"/>
  <c r="AD81" i="160" s="1"/>
  <c r="AG81" i="160" s="1"/>
  <c r="AJ81" i="160" s="1"/>
  <c r="AM81" i="160" s="1"/>
  <c r="AP81" i="160" s="1"/>
  <c r="AS81" i="160" s="1"/>
  <c r="AV81" i="160" s="1"/>
  <c r="AY81" i="160" s="1"/>
  <c r="BB81" i="160" s="1"/>
  <c r="BE81" i="160" s="1"/>
  <c r="BH81" i="160" s="1"/>
  <c r="BK81" i="160" s="1"/>
  <c r="BN81" i="160" s="1"/>
  <c r="BQ81" i="160" s="1"/>
  <c r="BT81" i="160" s="1"/>
  <c r="BW81" i="160" s="1"/>
  <c r="BZ81" i="160" s="1"/>
  <c r="CC81" i="160" s="1"/>
  <c r="CF81" i="160" s="1"/>
  <c r="CI81" i="160" s="1"/>
  <c r="CL81" i="160" s="1"/>
  <c r="CO81" i="160" s="1"/>
  <c r="CR81" i="160" s="1"/>
  <c r="CU81" i="160" s="1"/>
  <c r="CV80" i="160"/>
  <c r="CW80" i="160"/>
  <c r="I80" i="160"/>
  <c r="L80" i="160" s="1"/>
  <c r="O80" i="160" s="1"/>
  <c r="R80" i="160" s="1"/>
  <c r="U80" i="160" s="1"/>
  <c r="X80" i="160" s="1"/>
  <c r="AA80" i="160" s="1"/>
  <c r="AD80" i="160" s="1"/>
  <c r="AG80" i="160" s="1"/>
  <c r="AJ80" i="160" s="1"/>
  <c r="AM80" i="160" s="1"/>
  <c r="AP80" i="160" s="1"/>
  <c r="AS80" i="160" s="1"/>
  <c r="AV80" i="160" s="1"/>
  <c r="AY80" i="160" s="1"/>
  <c r="BB80" i="160" s="1"/>
  <c r="BE80" i="160" s="1"/>
  <c r="BH80" i="160" s="1"/>
  <c r="BK80" i="160" s="1"/>
  <c r="BN80" i="160" s="1"/>
  <c r="BQ80" i="160" s="1"/>
  <c r="BT80" i="160" s="1"/>
  <c r="BW80" i="160" s="1"/>
  <c r="BZ80" i="160" s="1"/>
  <c r="CC80" i="160" s="1"/>
  <c r="CF80" i="160" s="1"/>
  <c r="CI80" i="160" s="1"/>
  <c r="CL80" i="160" s="1"/>
  <c r="CO80" i="160" s="1"/>
  <c r="CR80" i="160" s="1"/>
  <c r="CU80" i="160" s="1"/>
  <c r="CW79" i="160"/>
  <c r="CV79" i="160"/>
  <c r="I79" i="160"/>
  <c r="L79" i="160" s="1"/>
  <c r="O79" i="160" s="1"/>
  <c r="R79" i="160" s="1"/>
  <c r="U79" i="160" s="1"/>
  <c r="X79" i="160" s="1"/>
  <c r="AA79" i="160" s="1"/>
  <c r="AD79" i="160" s="1"/>
  <c r="AG79" i="160" s="1"/>
  <c r="AJ79" i="160" s="1"/>
  <c r="AM79" i="160" s="1"/>
  <c r="AP79" i="160" s="1"/>
  <c r="AS79" i="160" s="1"/>
  <c r="AV79" i="160" s="1"/>
  <c r="AY79" i="160" s="1"/>
  <c r="BB79" i="160" s="1"/>
  <c r="BE79" i="160" s="1"/>
  <c r="BH79" i="160" s="1"/>
  <c r="BK79" i="160" s="1"/>
  <c r="BN79" i="160" s="1"/>
  <c r="BQ79" i="160" s="1"/>
  <c r="BT79" i="160" s="1"/>
  <c r="BW79" i="160" s="1"/>
  <c r="BZ79" i="160" s="1"/>
  <c r="CC79" i="160" s="1"/>
  <c r="CF79" i="160" s="1"/>
  <c r="CI79" i="160" s="1"/>
  <c r="CL79" i="160" s="1"/>
  <c r="CO79" i="160" s="1"/>
  <c r="CR79" i="160" s="1"/>
  <c r="CU79" i="160" s="1"/>
  <c r="CZ78" i="160"/>
  <c r="CV78" i="160"/>
  <c r="CW78" i="160"/>
  <c r="I78" i="160"/>
  <c r="L78" i="160" s="1"/>
  <c r="O78" i="160" s="1"/>
  <c r="R78" i="160" s="1"/>
  <c r="U78" i="160" s="1"/>
  <c r="X78" i="160" s="1"/>
  <c r="AA78" i="160" s="1"/>
  <c r="AD78" i="160" s="1"/>
  <c r="AG78" i="160" s="1"/>
  <c r="AJ78" i="160" s="1"/>
  <c r="AM78" i="160" s="1"/>
  <c r="AP78" i="160" s="1"/>
  <c r="AS78" i="160" s="1"/>
  <c r="AV78" i="160" s="1"/>
  <c r="AY78" i="160" s="1"/>
  <c r="BB78" i="160" s="1"/>
  <c r="BE78" i="160" s="1"/>
  <c r="BH78" i="160" s="1"/>
  <c r="BK78" i="160" s="1"/>
  <c r="BN78" i="160" s="1"/>
  <c r="BQ78" i="160" s="1"/>
  <c r="BT78" i="160" s="1"/>
  <c r="BW78" i="160" s="1"/>
  <c r="BZ78" i="160" s="1"/>
  <c r="CC78" i="160" s="1"/>
  <c r="CF78" i="160" s="1"/>
  <c r="CI78" i="160" s="1"/>
  <c r="CL78" i="160" s="1"/>
  <c r="CO78" i="160" s="1"/>
  <c r="CR78" i="160" s="1"/>
  <c r="CU78" i="160" s="1"/>
  <c r="DB78" i="160" s="1"/>
  <c r="DE78" i="160" s="1"/>
  <c r="CW77" i="160"/>
  <c r="I77" i="160"/>
  <c r="L77" i="160" s="1"/>
  <c r="O77" i="160" s="1"/>
  <c r="R77" i="160" s="1"/>
  <c r="CW76" i="160"/>
  <c r="I76" i="160"/>
  <c r="L76" i="160" s="1"/>
  <c r="O76" i="160" s="1"/>
  <c r="R76" i="160" s="1"/>
  <c r="U76" i="160" s="1"/>
  <c r="X76" i="160" s="1"/>
  <c r="AA76" i="160" s="1"/>
  <c r="AD76" i="160" s="1"/>
  <c r="AG76" i="160" s="1"/>
  <c r="AJ76" i="160" s="1"/>
  <c r="AM76" i="160" s="1"/>
  <c r="AP76" i="160" s="1"/>
  <c r="AS76" i="160" s="1"/>
  <c r="AV76" i="160" s="1"/>
  <c r="AY76" i="160" s="1"/>
  <c r="BB76" i="160" s="1"/>
  <c r="BE76" i="160" s="1"/>
  <c r="BH76" i="160" s="1"/>
  <c r="BK76" i="160" s="1"/>
  <c r="BN76" i="160" s="1"/>
  <c r="BQ76" i="160" s="1"/>
  <c r="BT76" i="160" s="1"/>
  <c r="BW76" i="160" s="1"/>
  <c r="BZ76" i="160" s="1"/>
  <c r="CC76" i="160" s="1"/>
  <c r="CF76" i="160" s="1"/>
  <c r="CI76" i="160" s="1"/>
  <c r="CL76" i="160" s="1"/>
  <c r="CO76" i="160" s="1"/>
  <c r="CR76" i="160" s="1"/>
  <c r="CU76" i="160" s="1"/>
  <c r="CV76" i="160"/>
  <c r="CW75" i="160"/>
  <c r="CV75" i="160"/>
  <c r="I75" i="160"/>
  <c r="L75" i="160" s="1"/>
  <c r="O75" i="160" s="1"/>
  <c r="R75" i="160" s="1"/>
  <c r="U75" i="160" s="1"/>
  <c r="X75" i="160" s="1"/>
  <c r="AA75" i="160" s="1"/>
  <c r="AD75" i="160" s="1"/>
  <c r="AG75" i="160" s="1"/>
  <c r="AJ75" i="160" s="1"/>
  <c r="AM75" i="160" s="1"/>
  <c r="AP75" i="160" s="1"/>
  <c r="AS75" i="160" s="1"/>
  <c r="AV75" i="160" s="1"/>
  <c r="AY75" i="160" s="1"/>
  <c r="BB75" i="160" s="1"/>
  <c r="BE75" i="160" s="1"/>
  <c r="BH75" i="160" s="1"/>
  <c r="BK75" i="160" s="1"/>
  <c r="BN75" i="160" s="1"/>
  <c r="BQ75" i="160" s="1"/>
  <c r="BT75" i="160" s="1"/>
  <c r="BW75" i="160" s="1"/>
  <c r="BZ75" i="160" s="1"/>
  <c r="CC75" i="160" s="1"/>
  <c r="CF75" i="160" s="1"/>
  <c r="CI75" i="160" s="1"/>
  <c r="CL75" i="160" s="1"/>
  <c r="CO75" i="160" s="1"/>
  <c r="CR75" i="160" s="1"/>
  <c r="CU75" i="160" s="1"/>
  <c r="CW74" i="160"/>
  <c r="CV74" i="160"/>
  <c r="I74" i="160"/>
  <c r="L74" i="160" s="1"/>
  <c r="O74" i="160" s="1"/>
  <c r="R74" i="160" s="1"/>
  <c r="U74" i="160" s="1"/>
  <c r="X74" i="160" s="1"/>
  <c r="AA74" i="160" s="1"/>
  <c r="AD74" i="160" s="1"/>
  <c r="AG74" i="160" s="1"/>
  <c r="AJ74" i="160" s="1"/>
  <c r="AM74" i="160" s="1"/>
  <c r="AP74" i="160" s="1"/>
  <c r="AS74" i="160" s="1"/>
  <c r="AV74" i="160" s="1"/>
  <c r="AY74" i="160" s="1"/>
  <c r="BB74" i="160" s="1"/>
  <c r="BE74" i="160" s="1"/>
  <c r="BH74" i="160" s="1"/>
  <c r="BK74" i="160" s="1"/>
  <c r="BN74" i="160" s="1"/>
  <c r="BQ74" i="160" s="1"/>
  <c r="BT74" i="160" s="1"/>
  <c r="BW74" i="160" s="1"/>
  <c r="BZ74" i="160" s="1"/>
  <c r="CC74" i="160" s="1"/>
  <c r="CF74" i="160" s="1"/>
  <c r="CI74" i="160" s="1"/>
  <c r="CL74" i="160" s="1"/>
  <c r="CO74" i="160" s="1"/>
  <c r="CR74" i="160" s="1"/>
  <c r="CU74" i="160" s="1"/>
  <c r="CW73" i="160"/>
  <c r="CV73" i="160"/>
  <c r="I73" i="160"/>
  <c r="L73" i="160" s="1"/>
  <c r="O73" i="160" s="1"/>
  <c r="R73" i="160" s="1"/>
  <c r="U73" i="160" s="1"/>
  <c r="X73" i="160" s="1"/>
  <c r="AA73" i="160" s="1"/>
  <c r="AD73" i="160" s="1"/>
  <c r="AG73" i="160" s="1"/>
  <c r="AJ73" i="160" s="1"/>
  <c r="AM73" i="160" s="1"/>
  <c r="AP73" i="160" s="1"/>
  <c r="AS73" i="160" s="1"/>
  <c r="AV73" i="160" s="1"/>
  <c r="AY73" i="160" s="1"/>
  <c r="BB73" i="160" s="1"/>
  <c r="BE73" i="160" s="1"/>
  <c r="BH73" i="160" s="1"/>
  <c r="BK73" i="160" s="1"/>
  <c r="BN73" i="160" s="1"/>
  <c r="BQ73" i="160" s="1"/>
  <c r="BT73" i="160" s="1"/>
  <c r="BW73" i="160" s="1"/>
  <c r="BZ73" i="160" s="1"/>
  <c r="CC73" i="160" s="1"/>
  <c r="CF73" i="160" s="1"/>
  <c r="CI73" i="160" s="1"/>
  <c r="CL73" i="160" s="1"/>
  <c r="CO73" i="160" s="1"/>
  <c r="CR73" i="160" s="1"/>
  <c r="CU73" i="160" s="1"/>
  <c r="CW72" i="160"/>
  <c r="I72" i="160"/>
  <c r="CV71" i="160"/>
  <c r="I71" i="160"/>
  <c r="L71" i="160" s="1"/>
  <c r="O71" i="160" s="1"/>
  <c r="R71" i="160" s="1"/>
  <c r="CW70" i="160"/>
  <c r="CV70" i="160"/>
  <c r="I70" i="160"/>
  <c r="L70" i="160" s="1"/>
  <c r="O70" i="160" s="1"/>
  <c r="R70" i="160" s="1"/>
  <c r="U70" i="160" s="1"/>
  <c r="X70" i="160" s="1"/>
  <c r="AA70" i="160" s="1"/>
  <c r="AD70" i="160" s="1"/>
  <c r="AG70" i="160" s="1"/>
  <c r="AJ70" i="160" s="1"/>
  <c r="AM70" i="160" s="1"/>
  <c r="AP70" i="160" s="1"/>
  <c r="AS70" i="160" s="1"/>
  <c r="AV70" i="160" s="1"/>
  <c r="AY70" i="160" s="1"/>
  <c r="BB70" i="160" s="1"/>
  <c r="BE70" i="160" s="1"/>
  <c r="BH70" i="160" s="1"/>
  <c r="BK70" i="160" s="1"/>
  <c r="BN70" i="160" s="1"/>
  <c r="BQ70" i="160" s="1"/>
  <c r="BT70" i="160" s="1"/>
  <c r="BW70" i="160" s="1"/>
  <c r="BZ70" i="160" s="1"/>
  <c r="CC70" i="160" s="1"/>
  <c r="CF70" i="160" s="1"/>
  <c r="CI70" i="160" s="1"/>
  <c r="CL70" i="160" s="1"/>
  <c r="CO70" i="160" s="1"/>
  <c r="CR70" i="160" s="1"/>
  <c r="CU70" i="160" s="1"/>
  <c r="CW69" i="160"/>
  <c r="CV69" i="160"/>
  <c r="I69" i="160"/>
  <c r="L69" i="160" s="1"/>
  <c r="O69" i="160" s="1"/>
  <c r="R69" i="160" s="1"/>
  <c r="U69" i="160" s="1"/>
  <c r="X69" i="160" s="1"/>
  <c r="AA69" i="160" s="1"/>
  <c r="AD69" i="160" s="1"/>
  <c r="AG69" i="160" s="1"/>
  <c r="AJ69" i="160" s="1"/>
  <c r="AM69" i="160" s="1"/>
  <c r="AP69" i="160" s="1"/>
  <c r="AS69" i="160" s="1"/>
  <c r="AV69" i="160" s="1"/>
  <c r="AY69" i="160" s="1"/>
  <c r="BB69" i="160" s="1"/>
  <c r="BE69" i="160" s="1"/>
  <c r="BH69" i="160" s="1"/>
  <c r="BK69" i="160" s="1"/>
  <c r="BN69" i="160" s="1"/>
  <c r="BQ69" i="160" s="1"/>
  <c r="BT69" i="160" s="1"/>
  <c r="BW69" i="160" s="1"/>
  <c r="BZ69" i="160" s="1"/>
  <c r="CC69" i="160" s="1"/>
  <c r="CF69" i="160" s="1"/>
  <c r="CI69" i="160" s="1"/>
  <c r="CL69" i="160" s="1"/>
  <c r="CO69" i="160" s="1"/>
  <c r="CR69" i="160" s="1"/>
  <c r="CU69" i="160" s="1"/>
  <c r="CW68" i="160"/>
  <c r="CV68" i="160"/>
  <c r="I68" i="160"/>
  <c r="L68" i="160" s="1"/>
  <c r="O68" i="160" s="1"/>
  <c r="R68" i="160" s="1"/>
  <c r="U68" i="160" s="1"/>
  <c r="X68" i="160" s="1"/>
  <c r="AA68" i="160" s="1"/>
  <c r="AD68" i="160" s="1"/>
  <c r="AG68" i="160" s="1"/>
  <c r="AJ68" i="160" s="1"/>
  <c r="AM68" i="160" s="1"/>
  <c r="AP68" i="160" s="1"/>
  <c r="AS68" i="160" s="1"/>
  <c r="AV68" i="160" s="1"/>
  <c r="AY68" i="160" s="1"/>
  <c r="BB68" i="160" s="1"/>
  <c r="BE68" i="160" s="1"/>
  <c r="BH68" i="160" s="1"/>
  <c r="BK68" i="160" s="1"/>
  <c r="BN68" i="160" s="1"/>
  <c r="BQ68" i="160" s="1"/>
  <c r="BT68" i="160" s="1"/>
  <c r="BW68" i="160" s="1"/>
  <c r="BZ68" i="160" s="1"/>
  <c r="CC68" i="160" s="1"/>
  <c r="CF68" i="160" s="1"/>
  <c r="CI68" i="160" s="1"/>
  <c r="CL68" i="160" s="1"/>
  <c r="CO68" i="160" s="1"/>
  <c r="CR68" i="160" s="1"/>
  <c r="CU68" i="160" s="1"/>
  <c r="CW67" i="160"/>
  <c r="CV67" i="160"/>
  <c r="I67" i="160"/>
  <c r="L67" i="160" s="1"/>
  <c r="O67" i="160" s="1"/>
  <c r="R67" i="160" s="1"/>
  <c r="U67" i="160" s="1"/>
  <c r="X67" i="160" s="1"/>
  <c r="AA67" i="160" s="1"/>
  <c r="AD67" i="160" s="1"/>
  <c r="AG67" i="160" s="1"/>
  <c r="AJ67" i="160" s="1"/>
  <c r="AM67" i="160" s="1"/>
  <c r="AP67" i="160" s="1"/>
  <c r="AS67" i="160" s="1"/>
  <c r="AV67" i="160" s="1"/>
  <c r="AY67" i="160" s="1"/>
  <c r="BB67" i="160" s="1"/>
  <c r="BE67" i="160" s="1"/>
  <c r="BH67" i="160" s="1"/>
  <c r="BK67" i="160" s="1"/>
  <c r="BN67" i="160" s="1"/>
  <c r="BQ67" i="160" s="1"/>
  <c r="BT67" i="160" s="1"/>
  <c r="BW67" i="160" s="1"/>
  <c r="BZ67" i="160" s="1"/>
  <c r="CC67" i="160" s="1"/>
  <c r="CF67" i="160" s="1"/>
  <c r="CI67" i="160" s="1"/>
  <c r="CL67" i="160" s="1"/>
  <c r="CO67" i="160" s="1"/>
  <c r="CR67" i="160" s="1"/>
  <c r="CU67" i="160" s="1"/>
  <c r="CW66" i="160"/>
  <c r="CV66" i="160"/>
  <c r="I66" i="160"/>
  <c r="L66" i="160" s="1"/>
  <c r="O66" i="160" s="1"/>
  <c r="R66" i="160" s="1"/>
  <c r="U66" i="160" s="1"/>
  <c r="X66" i="160" s="1"/>
  <c r="AA66" i="160" s="1"/>
  <c r="AD66" i="160" s="1"/>
  <c r="AG66" i="160" s="1"/>
  <c r="AJ66" i="160" s="1"/>
  <c r="AM66" i="160" s="1"/>
  <c r="AP66" i="160" s="1"/>
  <c r="AS66" i="160" s="1"/>
  <c r="AV66" i="160" s="1"/>
  <c r="AY66" i="160" s="1"/>
  <c r="BB66" i="160" s="1"/>
  <c r="BE66" i="160" s="1"/>
  <c r="BH66" i="160" s="1"/>
  <c r="BK66" i="160" s="1"/>
  <c r="BN66" i="160" s="1"/>
  <c r="BQ66" i="160" s="1"/>
  <c r="BT66" i="160" s="1"/>
  <c r="BW66" i="160" s="1"/>
  <c r="BZ66" i="160" s="1"/>
  <c r="CC66" i="160" s="1"/>
  <c r="CF66" i="160" s="1"/>
  <c r="CI66" i="160" s="1"/>
  <c r="CL66" i="160" s="1"/>
  <c r="CO66" i="160" s="1"/>
  <c r="CR66" i="160" s="1"/>
  <c r="CU66" i="160" s="1"/>
  <c r="CW65" i="160"/>
  <c r="CV65" i="160"/>
  <c r="I65" i="160"/>
  <c r="L65" i="160" s="1"/>
  <c r="O65" i="160" s="1"/>
  <c r="R65" i="160" s="1"/>
  <c r="U65" i="160" s="1"/>
  <c r="X65" i="160" s="1"/>
  <c r="AA65" i="160" s="1"/>
  <c r="AD65" i="160" s="1"/>
  <c r="AG65" i="160" s="1"/>
  <c r="AJ65" i="160" s="1"/>
  <c r="AM65" i="160" s="1"/>
  <c r="AP65" i="160" s="1"/>
  <c r="AS65" i="160" s="1"/>
  <c r="AV65" i="160" s="1"/>
  <c r="AY65" i="160" s="1"/>
  <c r="BB65" i="160" s="1"/>
  <c r="BE65" i="160" s="1"/>
  <c r="BH65" i="160" s="1"/>
  <c r="BK65" i="160" s="1"/>
  <c r="BN65" i="160" s="1"/>
  <c r="BQ65" i="160" s="1"/>
  <c r="BT65" i="160" s="1"/>
  <c r="BW65" i="160" s="1"/>
  <c r="BZ65" i="160" s="1"/>
  <c r="CC65" i="160" s="1"/>
  <c r="CF65" i="160" s="1"/>
  <c r="CI65" i="160" s="1"/>
  <c r="CL65" i="160" s="1"/>
  <c r="CO65" i="160" s="1"/>
  <c r="CR65" i="160" s="1"/>
  <c r="CU65" i="160" s="1"/>
  <c r="CW64" i="160"/>
  <c r="CV64" i="160"/>
  <c r="I64" i="160"/>
  <c r="L64" i="160" s="1"/>
  <c r="O64" i="160" s="1"/>
  <c r="R64" i="160" s="1"/>
  <c r="U64" i="160" s="1"/>
  <c r="X64" i="160" s="1"/>
  <c r="AA64" i="160" s="1"/>
  <c r="AD64" i="160" s="1"/>
  <c r="AG64" i="160" s="1"/>
  <c r="AJ64" i="160" s="1"/>
  <c r="AM64" i="160" s="1"/>
  <c r="AP64" i="160" s="1"/>
  <c r="AS64" i="160" s="1"/>
  <c r="AV64" i="160" s="1"/>
  <c r="AY64" i="160" s="1"/>
  <c r="BB64" i="160" s="1"/>
  <c r="BE64" i="160" s="1"/>
  <c r="BH64" i="160" s="1"/>
  <c r="BK64" i="160" s="1"/>
  <c r="BN64" i="160" s="1"/>
  <c r="BQ64" i="160" s="1"/>
  <c r="BT64" i="160" s="1"/>
  <c r="BW64" i="160" s="1"/>
  <c r="BZ64" i="160" s="1"/>
  <c r="CC64" i="160" s="1"/>
  <c r="CF64" i="160" s="1"/>
  <c r="CI64" i="160" s="1"/>
  <c r="CL64" i="160" s="1"/>
  <c r="CO64" i="160" s="1"/>
  <c r="CR64" i="160" s="1"/>
  <c r="CU64" i="160" s="1"/>
  <c r="CV63" i="160"/>
  <c r="I63" i="160"/>
  <c r="CW62" i="160"/>
  <c r="CV62" i="160"/>
  <c r="I62" i="160"/>
  <c r="L62" i="160" s="1"/>
  <c r="O62" i="160" s="1"/>
  <c r="R62" i="160" s="1"/>
  <c r="U62" i="160" s="1"/>
  <c r="X62" i="160" s="1"/>
  <c r="AA62" i="160" s="1"/>
  <c r="AD62" i="160" s="1"/>
  <c r="AG62" i="160" s="1"/>
  <c r="AJ62" i="160" s="1"/>
  <c r="AM62" i="160" s="1"/>
  <c r="AP62" i="160" s="1"/>
  <c r="AS62" i="160" s="1"/>
  <c r="AV62" i="160" s="1"/>
  <c r="AY62" i="160" s="1"/>
  <c r="BB62" i="160" s="1"/>
  <c r="BE62" i="160" s="1"/>
  <c r="BH62" i="160" s="1"/>
  <c r="BK62" i="160" s="1"/>
  <c r="BN62" i="160" s="1"/>
  <c r="BQ62" i="160" s="1"/>
  <c r="BT62" i="160" s="1"/>
  <c r="BW62" i="160" s="1"/>
  <c r="BZ62" i="160" s="1"/>
  <c r="CC62" i="160" s="1"/>
  <c r="CF62" i="160" s="1"/>
  <c r="CI62" i="160" s="1"/>
  <c r="CL62" i="160" s="1"/>
  <c r="CO62" i="160" s="1"/>
  <c r="CR62" i="160" s="1"/>
  <c r="CU62" i="160" s="1"/>
  <c r="CW61" i="160"/>
  <c r="CV61" i="160"/>
  <c r="I61" i="160"/>
  <c r="L61" i="160" s="1"/>
  <c r="O61" i="160" s="1"/>
  <c r="R61" i="160" s="1"/>
  <c r="U61" i="160" s="1"/>
  <c r="X61" i="160" s="1"/>
  <c r="AA61" i="160" s="1"/>
  <c r="AD61" i="160" s="1"/>
  <c r="AG61" i="160" s="1"/>
  <c r="AJ61" i="160" s="1"/>
  <c r="AM61" i="160" s="1"/>
  <c r="AP61" i="160" s="1"/>
  <c r="AS61" i="160" s="1"/>
  <c r="AV61" i="160" s="1"/>
  <c r="AY61" i="160" s="1"/>
  <c r="BB61" i="160" s="1"/>
  <c r="BE61" i="160" s="1"/>
  <c r="BH61" i="160" s="1"/>
  <c r="BK61" i="160" s="1"/>
  <c r="BN61" i="160" s="1"/>
  <c r="BQ61" i="160" s="1"/>
  <c r="BT61" i="160" s="1"/>
  <c r="BW61" i="160" s="1"/>
  <c r="BZ61" i="160" s="1"/>
  <c r="CC61" i="160" s="1"/>
  <c r="CF61" i="160" s="1"/>
  <c r="CI61" i="160" s="1"/>
  <c r="CL61" i="160" s="1"/>
  <c r="CO61" i="160" s="1"/>
  <c r="CR61" i="160" s="1"/>
  <c r="CU61" i="160" s="1"/>
  <c r="CW60" i="160"/>
  <c r="I60" i="160"/>
  <c r="L60" i="160" s="1"/>
  <c r="CV59" i="160"/>
  <c r="CV58" i="160"/>
  <c r="I58" i="160"/>
  <c r="L58" i="160" s="1"/>
  <c r="O58" i="160" s="1"/>
  <c r="R58" i="160" s="1"/>
  <c r="CW57" i="160"/>
  <c r="CV57" i="160"/>
  <c r="I57" i="160"/>
  <c r="L57" i="160" s="1"/>
  <c r="O57" i="160" s="1"/>
  <c r="R57" i="160" s="1"/>
  <c r="U57" i="160" s="1"/>
  <c r="X57" i="160" s="1"/>
  <c r="AA57" i="160" s="1"/>
  <c r="AD57" i="160" s="1"/>
  <c r="AG57" i="160" s="1"/>
  <c r="AJ57" i="160" s="1"/>
  <c r="AM57" i="160" s="1"/>
  <c r="AP57" i="160" s="1"/>
  <c r="AS57" i="160" s="1"/>
  <c r="AV57" i="160" s="1"/>
  <c r="AY57" i="160" s="1"/>
  <c r="BB57" i="160" s="1"/>
  <c r="BE57" i="160" s="1"/>
  <c r="BH57" i="160" s="1"/>
  <c r="BK57" i="160" s="1"/>
  <c r="BN57" i="160" s="1"/>
  <c r="BQ57" i="160" s="1"/>
  <c r="BT57" i="160" s="1"/>
  <c r="BW57" i="160" s="1"/>
  <c r="BZ57" i="160" s="1"/>
  <c r="CC57" i="160" s="1"/>
  <c r="CF57" i="160" s="1"/>
  <c r="CI57" i="160" s="1"/>
  <c r="CL57" i="160" s="1"/>
  <c r="CO57" i="160" s="1"/>
  <c r="CR57" i="160" s="1"/>
  <c r="CU57" i="160" s="1"/>
  <c r="CW56" i="160"/>
  <c r="CV56" i="160"/>
  <c r="I56" i="160"/>
  <c r="L56" i="160" s="1"/>
  <c r="O56" i="160" s="1"/>
  <c r="R56" i="160" s="1"/>
  <c r="U56" i="160" s="1"/>
  <c r="X56" i="160" s="1"/>
  <c r="AA56" i="160" s="1"/>
  <c r="AD56" i="160" s="1"/>
  <c r="AG56" i="160" s="1"/>
  <c r="AJ56" i="160" s="1"/>
  <c r="AM56" i="160" s="1"/>
  <c r="AP56" i="160" s="1"/>
  <c r="AS56" i="160" s="1"/>
  <c r="AV56" i="160" s="1"/>
  <c r="AY56" i="160" s="1"/>
  <c r="BB56" i="160" s="1"/>
  <c r="BE56" i="160" s="1"/>
  <c r="BH56" i="160" s="1"/>
  <c r="BK56" i="160" s="1"/>
  <c r="BN56" i="160" s="1"/>
  <c r="BQ56" i="160" s="1"/>
  <c r="BT56" i="160" s="1"/>
  <c r="BW56" i="160" s="1"/>
  <c r="BZ56" i="160" s="1"/>
  <c r="CC56" i="160" s="1"/>
  <c r="CF56" i="160" s="1"/>
  <c r="CI56" i="160" s="1"/>
  <c r="CL56" i="160" s="1"/>
  <c r="CO56" i="160" s="1"/>
  <c r="CR56" i="160" s="1"/>
  <c r="CU56" i="160" s="1"/>
  <c r="CW55" i="160"/>
  <c r="CV55" i="160"/>
  <c r="I55" i="160"/>
  <c r="L55" i="160" s="1"/>
  <c r="O55" i="160" s="1"/>
  <c r="R55" i="160" s="1"/>
  <c r="U55" i="160" s="1"/>
  <c r="X55" i="160" s="1"/>
  <c r="AA55" i="160" s="1"/>
  <c r="AD55" i="160" s="1"/>
  <c r="AG55" i="160" s="1"/>
  <c r="AJ55" i="160" s="1"/>
  <c r="AM55" i="160" s="1"/>
  <c r="AP55" i="160" s="1"/>
  <c r="AS55" i="160" s="1"/>
  <c r="AV55" i="160" s="1"/>
  <c r="AY55" i="160" s="1"/>
  <c r="BB55" i="160" s="1"/>
  <c r="BE55" i="160" s="1"/>
  <c r="BH55" i="160" s="1"/>
  <c r="BK55" i="160" s="1"/>
  <c r="BN55" i="160" s="1"/>
  <c r="BQ55" i="160" s="1"/>
  <c r="BT55" i="160" s="1"/>
  <c r="BW55" i="160" s="1"/>
  <c r="BZ55" i="160" s="1"/>
  <c r="CC55" i="160" s="1"/>
  <c r="CF55" i="160" s="1"/>
  <c r="CI55" i="160" s="1"/>
  <c r="CL55" i="160" s="1"/>
  <c r="CO55" i="160" s="1"/>
  <c r="CR55" i="160" s="1"/>
  <c r="CU55" i="160" s="1"/>
  <c r="CW54" i="160"/>
  <c r="CV54" i="160"/>
  <c r="I54" i="160"/>
  <c r="L54" i="160" s="1"/>
  <c r="O54" i="160" s="1"/>
  <c r="R54" i="160" s="1"/>
  <c r="U54" i="160" s="1"/>
  <c r="X54" i="160" s="1"/>
  <c r="AA54" i="160" s="1"/>
  <c r="AD54" i="160" s="1"/>
  <c r="AG54" i="160" s="1"/>
  <c r="AJ54" i="160" s="1"/>
  <c r="AM54" i="160" s="1"/>
  <c r="AP54" i="160" s="1"/>
  <c r="AS54" i="160" s="1"/>
  <c r="AV54" i="160" s="1"/>
  <c r="AY54" i="160" s="1"/>
  <c r="BB54" i="160" s="1"/>
  <c r="BE54" i="160" s="1"/>
  <c r="BH54" i="160" s="1"/>
  <c r="BK54" i="160" s="1"/>
  <c r="BN54" i="160" s="1"/>
  <c r="BQ54" i="160" s="1"/>
  <c r="BT54" i="160" s="1"/>
  <c r="BW54" i="160" s="1"/>
  <c r="BZ54" i="160" s="1"/>
  <c r="CC54" i="160" s="1"/>
  <c r="CF54" i="160" s="1"/>
  <c r="CI54" i="160" s="1"/>
  <c r="CL54" i="160" s="1"/>
  <c r="CO54" i="160" s="1"/>
  <c r="CR54" i="160" s="1"/>
  <c r="CU54" i="160" s="1"/>
  <c r="CW53" i="160"/>
  <c r="CV53" i="160"/>
  <c r="I53" i="160"/>
  <c r="L53" i="160" s="1"/>
  <c r="O53" i="160" s="1"/>
  <c r="R53" i="160" s="1"/>
  <c r="U53" i="160" s="1"/>
  <c r="X53" i="160" s="1"/>
  <c r="AA53" i="160" s="1"/>
  <c r="AD53" i="160" s="1"/>
  <c r="AG53" i="160" s="1"/>
  <c r="AJ53" i="160" s="1"/>
  <c r="AM53" i="160" s="1"/>
  <c r="AP53" i="160" s="1"/>
  <c r="AS53" i="160" s="1"/>
  <c r="AV53" i="160" s="1"/>
  <c r="AY53" i="160" s="1"/>
  <c r="BB53" i="160" s="1"/>
  <c r="BE53" i="160" s="1"/>
  <c r="BH53" i="160" s="1"/>
  <c r="BK53" i="160" s="1"/>
  <c r="BN53" i="160" s="1"/>
  <c r="BQ53" i="160" s="1"/>
  <c r="BT53" i="160" s="1"/>
  <c r="BW53" i="160" s="1"/>
  <c r="BZ53" i="160" s="1"/>
  <c r="CC53" i="160" s="1"/>
  <c r="CF53" i="160" s="1"/>
  <c r="CI53" i="160" s="1"/>
  <c r="CL53" i="160" s="1"/>
  <c r="CO53" i="160" s="1"/>
  <c r="CR53" i="160" s="1"/>
  <c r="CU53" i="160" s="1"/>
  <c r="CW52" i="160"/>
  <c r="CV52" i="160"/>
  <c r="I52" i="160"/>
  <c r="L52" i="160" s="1"/>
  <c r="O52" i="160" s="1"/>
  <c r="R52" i="160" s="1"/>
  <c r="U52" i="160" s="1"/>
  <c r="X52" i="160" s="1"/>
  <c r="AA52" i="160" s="1"/>
  <c r="AD52" i="160" s="1"/>
  <c r="AG52" i="160" s="1"/>
  <c r="AJ52" i="160" s="1"/>
  <c r="AM52" i="160" s="1"/>
  <c r="AP52" i="160" s="1"/>
  <c r="AS52" i="160" s="1"/>
  <c r="AV52" i="160" s="1"/>
  <c r="AY52" i="160" s="1"/>
  <c r="BB52" i="160" s="1"/>
  <c r="BE52" i="160" s="1"/>
  <c r="BH52" i="160" s="1"/>
  <c r="BK52" i="160" s="1"/>
  <c r="BN52" i="160" s="1"/>
  <c r="BQ52" i="160" s="1"/>
  <c r="BT52" i="160" s="1"/>
  <c r="BW52" i="160" s="1"/>
  <c r="BZ52" i="160" s="1"/>
  <c r="CC52" i="160" s="1"/>
  <c r="CF52" i="160" s="1"/>
  <c r="CI52" i="160" s="1"/>
  <c r="CL52" i="160" s="1"/>
  <c r="CO52" i="160" s="1"/>
  <c r="CR52" i="160" s="1"/>
  <c r="CU52" i="160" s="1"/>
  <c r="CW51" i="160"/>
  <c r="CV51" i="160"/>
  <c r="I51" i="160"/>
  <c r="L51" i="160" s="1"/>
  <c r="O51" i="160" s="1"/>
  <c r="R51" i="160" s="1"/>
  <c r="U51" i="160" s="1"/>
  <c r="X51" i="160" s="1"/>
  <c r="AA51" i="160" s="1"/>
  <c r="AD51" i="160" s="1"/>
  <c r="AG51" i="160" s="1"/>
  <c r="AJ51" i="160" s="1"/>
  <c r="AM51" i="160" s="1"/>
  <c r="AP51" i="160" s="1"/>
  <c r="AS51" i="160" s="1"/>
  <c r="AV51" i="160" s="1"/>
  <c r="AY51" i="160" s="1"/>
  <c r="BB51" i="160" s="1"/>
  <c r="BE51" i="160" s="1"/>
  <c r="BH51" i="160" s="1"/>
  <c r="BK51" i="160" s="1"/>
  <c r="BN51" i="160" s="1"/>
  <c r="BQ51" i="160" s="1"/>
  <c r="BT51" i="160" s="1"/>
  <c r="BW51" i="160" s="1"/>
  <c r="BZ51" i="160" s="1"/>
  <c r="CC51" i="160" s="1"/>
  <c r="CF51" i="160" s="1"/>
  <c r="CI51" i="160" s="1"/>
  <c r="CL51" i="160" s="1"/>
  <c r="CO51" i="160" s="1"/>
  <c r="CR51" i="160" s="1"/>
  <c r="CU51" i="160" s="1"/>
  <c r="CW50" i="160"/>
  <c r="CV50" i="160"/>
  <c r="I50" i="160"/>
  <c r="L50" i="160" s="1"/>
  <c r="O50" i="160" s="1"/>
  <c r="R50" i="160" s="1"/>
  <c r="U50" i="160" s="1"/>
  <c r="X50" i="160" s="1"/>
  <c r="AA50" i="160" s="1"/>
  <c r="AD50" i="160" s="1"/>
  <c r="AG50" i="160" s="1"/>
  <c r="AJ50" i="160" s="1"/>
  <c r="AM50" i="160" s="1"/>
  <c r="AP50" i="160" s="1"/>
  <c r="AS50" i="160" s="1"/>
  <c r="AV50" i="160" s="1"/>
  <c r="AY50" i="160" s="1"/>
  <c r="BB50" i="160" s="1"/>
  <c r="BE50" i="160" s="1"/>
  <c r="BH50" i="160" s="1"/>
  <c r="BK50" i="160" s="1"/>
  <c r="BN50" i="160" s="1"/>
  <c r="BQ50" i="160" s="1"/>
  <c r="BT50" i="160" s="1"/>
  <c r="BW50" i="160" s="1"/>
  <c r="BZ50" i="160" s="1"/>
  <c r="CC50" i="160" s="1"/>
  <c r="CF50" i="160" s="1"/>
  <c r="CI50" i="160" s="1"/>
  <c r="CL50" i="160" s="1"/>
  <c r="CO50" i="160" s="1"/>
  <c r="CR50" i="160" s="1"/>
  <c r="CU50" i="160" s="1"/>
  <c r="CW49" i="160"/>
  <c r="CV49" i="160"/>
  <c r="I49" i="160"/>
  <c r="L49" i="160" s="1"/>
  <c r="O49" i="160" s="1"/>
  <c r="R49" i="160" s="1"/>
  <c r="U49" i="160" s="1"/>
  <c r="X49" i="160" s="1"/>
  <c r="AA49" i="160" s="1"/>
  <c r="AD49" i="160" s="1"/>
  <c r="AG49" i="160" s="1"/>
  <c r="AJ49" i="160" s="1"/>
  <c r="AM49" i="160" s="1"/>
  <c r="AP49" i="160" s="1"/>
  <c r="AS49" i="160" s="1"/>
  <c r="AV49" i="160" s="1"/>
  <c r="AY49" i="160" s="1"/>
  <c r="BB49" i="160" s="1"/>
  <c r="BE49" i="160" s="1"/>
  <c r="BH49" i="160" s="1"/>
  <c r="BK49" i="160" s="1"/>
  <c r="BN49" i="160" s="1"/>
  <c r="BQ49" i="160" s="1"/>
  <c r="BT49" i="160" s="1"/>
  <c r="BW49" i="160" s="1"/>
  <c r="BZ49" i="160" s="1"/>
  <c r="CC49" i="160" s="1"/>
  <c r="CF49" i="160" s="1"/>
  <c r="CI49" i="160" s="1"/>
  <c r="CL49" i="160" s="1"/>
  <c r="CO49" i="160" s="1"/>
  <c r="CR49" i="160" s="1"/>
  <c r="CU49" i="160" s="1"/>
  <c r="CV48" i="160"/>
  <c r="I48" i="160"/>
  <c r="L48" i="160" s="1"/>
  <c r="O48" i="160" s="1"/>
  <c r="R48" i="160" s="1"/>
  <c r="CW47" i="160"/>
  <c r="CV47" i="160"/>
  <c r="I47" i="160"/>
  <c r="L47" i="160" s="1"/>
  <c r="O47" i="160" s="1"/>
  <c r="R47" i="160" s="1"/>
  <c r="U47" i="160" s="1"/>
  <c r="X47" i="160" s="1"/>
  <c r="AA47" i="160" s="1"/>
  <c r="AD47" i="160" s="1"/>
  <c r="AG47" i="160" s="1"/>
  <c r="AJ47" i="160" s="1"/>
  <c r="AM47" i="160" s="1"/>
  <c r="AP47" i="160" s="1"/>
  <c r="AS47" i="160" s="1"/>
  <c r="AV47" i="160" s="1"/>
  <c r="AY47" i="160" s="1"/>
  <c r="BB47" i="160" s="1"/>
  <c r="BE47" i="160" s="1"/>
  <c r="BH47" i="160" s="1"/>
  <c r="BK47" i="160" s="1"/>
  <c r="BN47" i="160" s="1"/>
  <c r="BQ47" i="160" s="1"/>
  <c r="BT47" i="160" s="1"/>
  <c r="BW47" i="160" s="1"/>
  <c r="BZ47" i="160" s="1"/>
  <c r="CC47" i="160" s="1"/>
  <c r="CF47" i="160" s="1"/>
  <c r="CI47" i="160" s="1"/>
  <c r="CL47" i="160" s="1"/>
  <c r="CO47" i="160" s="1"/>
  <c r="CR47" i="160" s="1"/>
  <c r="CU47" i="160" s="1"/>
  <c r="CW46" i="160"/>
  <c r="CV46" i="160"/>
  <c r="I46" i="160"/>
  <c r="L46" i="160" s="1"/>
  <c r="O46" i="160" s="1"/>
  <c r="R46" i="160" s="1"/>
  <c r="U46" i="160" s="1"/>
  <c r="X46" i="160" s="1"/>
  <c r="AA46" i="160" s="1"/>
  <c r="AD46" i="160" s="1"/>
  <c r="AG46" i="160" s="1"/>
  <c r="AJ46" i="160" s="1"/>
  <c r="AM46" i="160" s="1"/>
  <c r="AP46" i="160" s="1"/>
  <c r="AS46" i="160" s="1"/>
  <c r="AV46" i="160" s="1"/>
  <c r="AY46" i="160" s="1"/>
  <c r="BB46" i="160" s="1"/>
  <c r="BE46" i="160" s="1"/>
  <c r="BH46" i="160" s="1"/>
  <c r="BK46" i="160" s="1"/>
  <c r="BN46" i="160" s="1"/>
  <c r="BQ46" i="160" s="1"/>
  <c r="BT46" i="160" s="1"/>
  <c r="BW46" i="160" s="1"/>
  <c r="BZ46" i="160" s="1"/>
  <c r="CC46" i="160" s="1"/>
  <c r="CF46" i="160" s="1"/>
  <c r="CI46" i="160" s="1"/>
  <c r="CL46" i="160" s="1"/>
  <c r="CO46" i="160" s="1"/>
  <c r="CR46" i="160" s="1"/>
  <c r="CU46" i="160" s="1"/>
  <c r="CV45" i="160"/>
  <c r="CW45" i="160"/>
  <c r="I45" i="160"/>
  <c r="L45" i="160" s="1"/>
  <c r="O45" i="160" s="1"/>
  <c r="R45" i="160" s="1"/>
  <c r="U45" i="160" s="1"/>
  <c r="X45" i="160" s="1"/>
  <c r="AA45" i="160" s="1"/>
  <c r="AD45" i="160" s="1"/>
  <c r="AG45" i="160" s="1"/>
  <c r="AJ45" i="160" s="1"/>
  <c r="AM45" i="160" s="1"/>
  <c r="AP45" i="160" s="1"/>
  <c r="AS45" i="160" s="1"/>
  <c r="AV45" i="160" s="1"/>
  <c r="AY45" i="160" s="1"/>
  <c r="BB45" i="160" s="1"/>
  <c r="BE45" i="160" s="1"/>
  <c r="BH45" i="160" s="1"/>
  <c r="BK45" i="160" s="1"/>
  <c r="BN45" i="160" s="1"/>
  <c r="BQ45" i="160" s="1"/>
  <c r="BT45" i="160" s="1"/>
  <c r="BW45" i="160" s="1"/>
  <c r="BZ45" i="160" s="1"/>
  <c r="CC45" i="160" s="1"/>
  <c r="CF45" i="160" s="1"/>
  <c r="CI45" i="160" s="1"/>
  <c r="CL45" i="160" s="1"/>
  <c r="CO45" i="160" s="1"/>
  <c r="CR45" i="160" s="1"/>
  <c r="CU45" i="160" s="1"/>
  <c r="CW44" i="160"/>
  <c r="CV44" i="160"/>
  <c r="I44" i="160"/>
  <c r="L44" i="160" s="1"/>
  <c r="O44" i="160" s="1"/>
  <c r="R44" i="160" s="1"/>
  <c r="U44" i="160" s="1"/>
  <c r="X44" i="160" s="1"/>
  <c r="AA44" i="160" s="1"/>
  <c r="AD44" i="160" s="1"/>
  <c r="AG44" i="160" s="1"/>
  <c r="AJ44" i="160" s="1"/>
  <c r="AM44" i="160" s="1"/>
  <c r="AP44" i="160" s="1"/>
  <c r="AS44" i="160" s="1"/>
  <c r="AV44" i="160" s="1"/>
  <c r="AY44" i="160" s="1"/>
  <c r="BB44" i="160" s="1"/>
  <c r="BE44" i="160" s="1"/>
  <c r="BH44" i="160" s="1"/>
  <c r="BK44" i="160" s="1"/>
  <c r="BN44" i="160" s="1"/>
  <c r="BQ44" i="160" s="1"/>
  <c r="BT44" i="160" s="1"/>
  <c r="BW44" i="160" s="1"/>
  <c r="BZ44" i="160" s="1"/>
  <c r="CC44" i="160" s="1"/>
  <c r="CF44" i="160" s="1"/>
  <c r="CI44" i="160" s="1"/>
  <c r="CL44" i="160" s="1"/>
  <c r="CO44" i="160" s="1"/>
  <c r="CR44" i="160" s="1"/>
  <c r="CU44" i="160" s="1"/>
  <c r="CV43" i="160"/>
  <c r="CW43" i="160"/>
  <c r="L43" i="160"/>
  <c r="O43" i="160" s="1"/>
  <c r="R43" i="160" s="1"/>
  <c r="I43" i="160"/>
  <c r="CW42" i="160"/>
  <c r="CV42" i="160"/>
  <c r="I42" i="160"/>
  <c r="L42" i="160" s="1"/>
  <c r="O42" i="160" s="1"/>
  <c r="R42" i="160" s="1"/>
  <c r="U42" i="160" s="1"/>
  <c r="X42" i="160" s="1"/>
  <c r="AA42" i="160" s="1"/>
  <c r="AD42" i="160" s="1"/>
  <c r="AG42" i="160" s="1"/>
  <c r="AJ42" i="160" s="1"/>
  <c r="AM42" i="160" s="1"/>
  <c r="AP42" i="160" s="1"/>
  <c r="AS42" i="160" s="1"/>
  <c r="AV42" i="160" s="1"/>
  <c r="AY42" i="160" s="1"/>
  <c r="BB42" i="160" s="1"/>
  <c r="BE42" i="160" s="1"/>
  <c r="BH42" i="160" s="1"/>
  <c r="BK42" i="160" s="1"/>
  <c r="BN42" i="160" s="1"/>
  <c r="BQ42" i="160" s="1"/>
  <c r="BT42" i="160" s="1"/>
  <c r="BW42" i="160" s="1"/>
  <c r="BZ42" i="160" s="1"/>
  <c r="CC42" i="160" s="1"/>
  <c r="CF42" i="160" s="1"/>
  <c r="CI42" i="160" s="1"/>
  <c r="CL42" i="160" s="1"/>
  <c r="CO42" i="160" s="1"/>
  <c r="CR42" i="160" s="1"/>
  <c r="CU42" i="160" s="1"/>
  <c r="CW41" i="160"/>
  <c r="CV41" i="160"/>
  <c r="I41" i="160"/>
  <c r="L41" i="160" s="1"/>
  <c r="O41" i="160" s="1"/>
  <c r="R41" i="160" s="1"/>
  <c r="U41" i="160" s="1"/>
  <c r="X41" i="160" s="1"/>
  <c r="AA41" i="160" s="1"/>
  <c r="AD41" i="160" s="1"/>
  <c r="AG41" i="160" s="1"/>
  <c r="AJ41" i="160" s="1"/>
  <c r="AM41" i="160" s="1"/>
  <c r="AP41" i="160" s="1"/>
  <c r="AS41" i="160" s="1"/>
  <c r="AV41" i="160" s="1"/>
  <c r="AY41" i="160" s="1"/>
  <c r="BB41" i="160" s="1"/>
  <c r="BE41" i="160" s="1"/>
  <c r="BH41" i="160" s="1"/>
  <c r="BK41" i="160" s="1"/>
  <c r="BN41" i="160" s="1"/>
  <c r="BQ41" i="160" s="1"/>
  <c r="BT41" i="160" s="1"/>
  <c r="BW41" i="160" s="1"/>
  <c r="BZ41" i="160" s="1"/>
  <c r="CC41" i="160" s="1"/>
  <c r="CF41" i="160" s="1"/>
  <c r="CI41" i="160" s="1"/>
  <c r="CL41" i="160" s="1"/>
  <c r="CO41" i="160" s="1"/>
  <c r="CR41" i="160" s="1"/>
  <c r="CU41" i="160" s="1"/>
  <c r="CV40" i="160"/>
  <c r="I40" i="160"/>
  <c r="L40" i="160" s="1"/>
  <c r="O40" i="160" s="1"/>
  <c r="R40" i="160" s="1"/>
  <c r="I39" i="160"/>
  <c r="L39" i="160" s="1"/>
  <c r="O39" i="160" s="1"/>
  <c r="R39" i="160" s="1"/>
  <c r="CW38" i="160"/>
  <c r="CV38" i="160"/>
  <c r="I38" i="160"/>
  <c r="L38" i="160" s="1"/>
  <c r="O38" i="160" s="1"/>
  <c r="R38" i="160" s="1"/>
  <c r="U38" i="160" s="1"/>
  <c r="X38" i="160" s="1"/>
  <c r="AA38" i="160" s="1"/>
  <c r="AD38" i="160" s="1"/>
  <c r="AG38" i="160" s="1"/>
  <c r="AJ38" i="160" s="1"/>
  <c r="AM38" i="160" s="1"/>
  <c r="AP38" i="160" s="1"/>
  <c r="AS38" i="160" s="1"/>
  <c r="AV38" i="160" s="1"/>
  <c r="AY38" i="160" s="1"/>
  <c r="BB38" i="160" s="1"/>
  <c r="BE38" i="160" s="1"/>
  <c r="BH38" i="160" s="1"/>
  <c r="BK38" i="160" s="1"/>
  <c r="BN38" i="160" s="1"/>
  <c r="BQ38" i="160" s="1"/>
  <c r="BT38" i="160" s="1"/>
  <c r="BW38" i="160" s="1"/>
  <c r="BZ38" i="160" s="1"/>
  <c r="CC38" i="160" s="1"/>
  <c r="CF38" i="160" s="1"/>
  <c r="CI38" i="160" s="1"/>
  <c r="CL38" i="160" s="1"/>
  <c r="CO38" i="160" s="1"/>
  <c r="CR38" i="160" s="1"/>
  <c r="CU38" i="160" s="1"/>
  <c r="CW37" i="160"/>
  <c r="CV37" i="160"/>
  <c r="I37" i="160"/>
  <c r="L37" i="160" s="1"/>
  <c r="O37" i="160" s="1"/>
  <c r="R37" i="160" s="1"/>
  <c r="U37" i="160" s="1"/>
  <c r="X37" i="160" s="1"/>
  <c r="AA37" i="160" s="1"/>
  <c r="AD37" i="160" s="1"/>
  <c r="AG37" i="160" s="1"/>
  <c r="AJ37" i="160" s="1"/>
  <c r="AM37" i="160" s="1"/>
  <c r="AP37" i="160" s="1"/>
  <c r="AS37" i="160" s="1"/>
  <c r="AV37" i="160" s="1"/>
  <c r="AY37" i="160" s="1"/>
  <c r="BB37" i="160" s="1"/>
  <c r="BE37" i="160" s="1"/>
  <c r="BH37" i="160" s="1"/>
  <c r="BK37" i="160" s="1"/>
  <c r="BN37" i="160" s="1"/>
  <c r="BQ37" i="160" s="1"/>
  <c r="BT37" i="160" s="1"/>
  <c r="BW37" i="160" s="1"/>
  <c r="BZ37" i="160" s="1"/>
  <c r="CC37" i="160" s="1"/>
  <c r="CF37" i="160" s="1"/>
  <c r="CI37" i="160" s="1"/>
  <c r="CL37" i="160" s="1"/>
  <c r="CO37" i="160" s="1"/>
  <c r="CR37" i="160" s="1"/>
  <c r="CU37" i="160" s="1"/>
  <c r="CW35" i="160"/>
  <c r="CV35" i="160"/>
  <c r="I35" i="160"/>
  <c r="L35" i="160" s="1"/>
  <c r="O35" i="160" s="1"/>
  <c r="R35" i="160" s="1"/>
  <c r="U35" i="160" s="1"/>
  <c r="X35" i="160" s="1"/>
  <c r="AA35" i="160" s="1"/>
  <c r="AD35" i="160" s="1"/>
  <c r="AG35" i="160" s="1"/>
  <c r="AJ35" i="160" s="1"/>
  <c r="AM35" i="160" s="1"/>
  <c r="AP35" i="160" s="1"/>
  <c r="AS35" i="160" s="1"/>
  <c r="AV35" i="160" s="1"/>
  <c r="AY35" i="160" s="1"/>
  <c r="BB35" i="160" s="1"/>
  <c r="BE35" i="160" s="1"/>
  <c r="BH35" i="160" s="1"/>
  <c r="BK35" i="160" s="1"/>
  <c r="BN35" i="160" s="1"/>
  <c r="BQ35" i="160" s="1"/>
  <c r="BT35" i="160" s="1"/>
  <c r="BW35" i="160" s="1"/>
  <c r="BZ35" i="160" s="1"/>
  <c r="CC35" i="160" s="1"/>
  <c r="CF35" i="160" s="1"/>
  <c r="CI35" i="160" s="1"/>
  <c r="CL35" i="160" s="1"/>
  <c r="CO35" i="160" s="1"/>
  <c r="CR35" i="160" s="1"/>
  <c r="CU35" i="160" s="1"/>
  <c r="CW34" i="160"/>
  <c r="CV34" i="160"/>
  <c r="I34" i="160"/>
  <c r="L34" i="160" s="1"/>
  <c r="O34" i="160" s="1"/>
  <c r="R34" i="160" s="1"/>
  <c r="U34" i="160" s="1"/>
  <c r="X34" i="160" s="1"/>
  <c r="AA34" i="160" s="1"/>
  <c r="AD34" i="160" s="1"/>
  <c r="AG34" i="160" s="1"/>
  <c r="AJ34" i="160" s="1"/>
  <c r="AM34" i="160" s="1"/>
  <c r="AP34" i="160" s="1"/>
  <c r="AS34" i="160" s="1"/>
  <c r="AV34" i="160" s="1"/>
  <c r="AY34" i="160" s="1"/>
  <c r="BB34" i="160" s="1"/>
  <c r="BE34" i="160" s="1"/>
  <c r="BH34" i="160" s="1"/>
  <c r="BK34" i="160" s="1"/>
  <c r="BN34" i="160" s="1"/>
  <c r="BQ34" i="160" s="1"/>
  <c r="BT34" i="160" s="1"/>
  <c r="BW34" i="160" s="1"/>
  <c r="BZ34" i="160" s="1"/>
  <c r="CC34" i="160" s="1"/>
  <c r="CF34" i="160" s="1"/>
  <c r="CI34" i="160" s="1"/>
  <c r="CL34" i="160" s="1"/>
  <c r="CO34" i="160" s="1"/>
  <c r="CR34" i="160" s="1"/>
  <c r="CU34" i="160" s="1"/>
  <c r="CW33" i="160"/>
  <c r="CV33" i="160"/>
  <c r="I33" i="160"/>
  <c r="L33" i="160" s="1"/>
  <c r="O33" i="160" s="1"/>
  <c r="R33" i="160" s="1"/>
  <c r="U33" i="160" s="1"/>
  <c r="X33" i="160" s="1"/>
  <c r="AA33" i="160" s="1"/>
  <c r="AD33" i="160" s="1"/>
  <c r="AG33" i="160" s="1"/>
  <c r="AJ33" i="160" s="1"/>
  <c r="AM33" i="160" s="1"/>
  <c r="AP33" i="160" s="1"/>
  <c r="AS33" i="160" s="1"/>
  <c r="AV33" i="160" s="1"/>
  <c r="AY33" i="160" s="1"/>
  <c r="BB33" i="160" s="1"/>
  <c r="BE33" i="160" s="1"/>
  <c r="BH33" i="160" s="1"/>
  <c r="BK33" i="160" s="1"/>
  <c r="BN33" i="160" s="1"/>
  <c r="BQ33" i="160" s="1"/>
  <c r="BT33" i="160" s="1"/>
  <c r="BW33" i="160" s="1"/>
  <c r="BZ33" i="160" s="1"/>
  <c r="CC33" i="160" s="1"/>
  <c r="CF33" i="160" s="1"/>
  <c r="CI33" i="160" s="1"/>
  <c r="CL33" i="160" s="1"/>
  <c r="CO33" i="160" s="1"/>
  <c r="CR33" i="160" s="1"/>
  <c r="CU33" i="160" s="1"/>
  <c r="CW32" i="160"/>
  <c r="CV32" i="160"/>
  <c r="I32" i="160"/>
  <c r="L32" i="160" s="1"/>
  <c r="O32" i="160" s="1"/>
  <c r="R32" i="160" s="1"/>
  <c r="U32" i="160" s="1"/>
  <c r="X32" i="160" s="1"/>
  <c r="AA32" i="160" s="1"/>
  <c r="AD32" i="160" s="1"/>
  <c r="AG32" i="160" s="1"/>
  <c r="AJ32" i="160" s="1"/>
  <c r="AM32" i="160" s="1"/>
  <c r="AP32" i="160" s="1"/>
  <c r="AS32" i="160" s="1"/>
  <c r="AV32" i="160" s="1"/>
  <c r="AY32" i="160" s="1"/>
  <c r="BB32" i="160" s="1"/>
  <c r="BE32" i="160" s="1"/>
  <c r="BH32" i="160" s="1"/>
  <c r="BK32" i="160" s="1"/>
  <c r="BN32" i="160" s="1"/>
  <c r="BQ32" i="160" s="1"/>
  <c r="BT32" i="160" s="1"/>
  <c r="BW32" i="160" s="1"/>
  <c r="BZ32" i="160" s="1"/>
  <c r="CC32" i="160" s="1"/>
  <c r="CF32" i="160" s="1"/>
  <c r="CI32" i="160" s="1"/>
  <c r="CL32" i="160" s="1"/>
  <c r="CO32" i="160" s="1"/>
  <c r="CR32" i="160" s="1"/>
  <c r="CU32" i="160" s="1"/>
  <c r="CW31" i="160"/>
  <c r="CV31" i="160"/>
  <c r="I31" i="160"/>
  <c r="L31" i="160" s="1"/>
  <c r="O31" i="160" s="1"/>
  <c r="R31" i="160" s="1"/>
  <c r="U31" i="160" s="1"/>
  <c r="X31" i="160" s="1"/>
  <c r="AA31" i="160" s="1"/>
  <c r="AD31" i="160" s="1"/>
  <c r="AG31" i="160" s="1"/>
  <c r="AJ31" i="160" s="1"/>
  <c r="AM31" i="160" s="1"/>
  <c r="AP31" i="160" s="1"/>
  <c r="AS31" i="160" s="1"/>
  <c r="AV31" i="160" s="1"/>
  <c r="AY31" i="160" s="1"/>
  <c r="BB31" i="160" s="1"/>
  <c r="BE31" i="160" s="1"/>
  <c r="BH31" i="160" s="1"/>
  <c r="BK31" i="160" s="1"/>
  <c r="BN31" i="160" s="1"/>
  <c r="BQ31" i="160" s="1"/>
  <c r="BT31" i="160" s="1"/>
  <c r="BW31" i="160" s="1"/>
  <c r="BZ31" i="160" s="1"/>
  <c r="CC31" i="160" s="1"/>
  <c r="CF31" i="160" s="1"/>
  <c r="CI31" i="160" s="1"/>
  <c r="CL31" i="160" s="1"/>
  <c r="CO31" i="160" s="1"/>
  <c r="CR31" i="160" s="1"/>
  <c r="CU31" i="160" s="1"/>
  <c r="CW30" i="160"/>
  <c r="CV30" i="160"/>
  <c r="I30" i="160"/>
  <c r="L30" i="160" s="1"/>
  <c r="O30" i="160" s="1"/>
  <c r="R30" i="160" s="1"/>
  <c r="U30" i="160" s="1"/>
  <c r="X30" i="160" s="1"/>
  <c r="AA30" i="160" s="1"/>
  <c r="AD30" i="160" s="1"/>
  <c r="AG30" i="160" s="1"/>
  <c r="AJ30" i="160" s="1"/>
  <c r="AM30" i="160" s="1"/>
  <c r="AP30" i="160" s="1"/>
  <c r="AS30" i="160" s="1"/>
  <c r="AV30" i="160" s="1"/>
  <c r="AY30" i="160" s="1"/>
  <c r="BB30" i="160" s="1"/>
  <c r="BE30" i="160" s="1"/>
  <c r="BH30" i="160" s="1"/>
  <c r="BK30" i="160" s="1"/>
  <c r="BN30" i="160" s="1"/>
  <c r="BQ30" i="160" s="1"/>
  <c r="BT30" i="160" s="1"/>
  <c r="BW30" i="160" s="1"/>
  <c r="BZ30" i="160" s="1"/>
  <c r="CC30" i="160" s="1"/>
  <c r="CF30" i="160" s="1"/>
  <c r="CI30" i="160" s="1"/>
  <c r="CL30" i="160" s="1"/>
  <c r="CO30" i="160" s="1"/>
  <c r="CR30" i="160" s="1"/>
  <c r="CU30" i="160" s="1"/>
  <c r="I29" i="160"/>
  <c r="L29" i="160" s="1"/>
  <c r="O29" i="160" s="1"/>
  <c r="R29" i="160" s="1"/>
  <c r="U29" i="160" s="1"/>
  <c r="X29" i="160" s="1"/>
  <c r="AA29" i="160" s="1"/>
  <c r="AD29" i="160" s="1"/>
  <c r="AG29" i="160" s="1"/>
  <c r="AJ29" i="160" s="1"/>
  <c r="AM29" i="160" s="1"/>
  <c r="AP29" i="160" s="1"/>
  <c r="AS29" i="160" s="1"/>
  <c r="AV29" i="160" s="1"/>
  <c r="AY29" i="160" s="1"/>
  <c r="BB29" i="160" s="1"/>
  <c r="BE29" i="160" s="1"/>
  <c r="BH29" i="160" s="1"/>
  <c r="BK29" i="160" s="1"/>
  <c r="BN29" i="160" s="1"/>
  <c r="BQ29" i="160" s="1"/>
  <c r="BT29" i="160" s="1"/>
  <c r="BW29" i="160" s="1"/>
  <c r="BZ29" i="160" s="1"/>
  <c r="CC29" i="160" s="1"/>
  <c r="CF29" i="160" s="1"/>
  <c r="CI29" i="160" s="1"/>
  <c r="CL29" i="160" s="1"/>
  <c r="CO29" i="160" s="1"/>
  <c r="CR29" i="160" s="1"/>
  <c r="CU29" i="160" s="1"/>
  <c r="CV28" i="160"/>
  <c r="CW28" i="160"/>
  <c r="CV27" i="160"/>
  <c r="CW26" i="160"/>
  <c r="CV26" i="160"/>
  <c r="I26" i="160"/>
  <c r="L26" i="160" s="1"/>
  <c r="O26" i="160" s="1"/>
  <c r="R26" i="160" s="1"/>
  <c r="U26" i="160" s="1"/>
  <c r="X26" i="160" s="1"/>
  <c r="AA26" i="160" s="1"/>
  <c r="AD26" i="160" s="1"/>
  <c r="AG26" i="160" s="1"/>
  <c r="AJ26" i="160" s="1"/>
  <c r="AM26" i="160" s="1"/>
  <c r="AP26" i="160" s="1"/>
  <c r="AS26" i="160" s="1"/>
  <c r="AV26" i="160" s="1"/>
  <c r="AY26" i="160" s="1"/>
  <c r="BB26" i="160" s="1"/>
  <c r="BE26" i="160" s="1"/>
  <c r="BH26" i="160" s="1"/>
  <c r="BK26" i="160" s="1"/>
  <c r="BN26" i="160" s="1"/>
  <c r="BQ26" i="160" s="1"/>
  <c r="BT26" i="160" s="1"/>
  <c r="BW26" i="160" s="1"/>
  <c r="BZ26" i="160" s="1"/>
  <c r="CC26" i="160" s="1"/>
  <c r="CF26" i="160" s="1"/>
  <c r="CI26" i="160" s="1"/>
  <c r="CL26" i="160" s="1"/>
  <c r="CO26" i="160" s="1"/>
  <c r="CR26" i="160" s="1"/>
  <c r="CU26" i="160" s="1"/>
  <c r="CV25" i="160"/>
  <c r="I25" i="160"/>
  <c r="L25" i="160" s="1"/>
  <c r="O25" i="160" s="1"/>
  <c r="R25" i="160" s="1"/>
  <c r="CV24" i="160"/>
  <c r="I24" i="160"/>
  <c r="L24" i="160" s="1"/>
  <c r="O24" i="160" s="1"/>
  <c r="R24" i="160" s="1"/>
  <c r="CW23" i="160"/>
  <c r="I23" i="160"/>
  <c r="L23" i="160" s="1"/>
  <c r="O23" i="160" s="1"/>
  <c r="R23" i="160" s="1"/>
  <c r="CV23" i="160"/>
  <c r="CV22" i="160"/>
  <c r="CW21" i="160"/>
  <c r="CV21" i="160"/>
  <c r="I21" i="160"/>
  <c r="L21" i="160" s="1"/>
  <c r="O21" i="160" s="1"/>
  <c r="R21" i="160" s="1"/>
  <c r="U21" i="160" s="1"/>
  <c r="X21" i="160" s="1"/>
  <c r="AA21" i="160" s="1"/>
  <c r="AD21" i="160" s="1"/>
  <c r="AG21" i="160" s="1"/>
  <c r="AJ21" i="160" s="1"/>
  <c r="AM21" i="160" s="1"/>
  <c r="AP21" i="160" s="1"/>
  <c r="AS21" i="160" s="1"/>
  <c r="AV21" i="160" s="1"/>
  <c r="AY21" i="160" s="1"/>
  <c r="BB21" i="160" s="1"/>
  <c r="BE21" i="160" s="1"/>
  <c r="BH21" i="160" s="1"/>
  <c r="BK21" i="160" s="1"/>
  <c r="BN21" i="160" s="1"/>
  <c r="BQ21" i="160" s="1"/>
  <c r="BT21" i="160" s="1"/>
  <c r="BW21" i="160" s="1"/>
  <c r="BZ21" i="160" s="1"/>
  <c r="CC21" i="160" s="1"/>
  <c r="CF21" i="160" s="1"/>
  <c r="CI21" i="160" s="1"/>
  <c r="CL21" i="160" s="1"/>
  <c r="CO21" i="160" s="1"/>
  <c r="CR21" i="160" s="1"/>
  <c r="CU21" i="160" s="1"/>
  <c r="CW20" i="160"/>
  <c r="CV20" i="160"/>
  <c r="I20" i="160"/>
  <c r="L20" i="160" s="1"/>
  <c r="O20" i="160" s="1"/>
  <c r="R20" i="160" s="1"/>
  <c r="U20" i="160" s="1"/>
  <c r="X20" i="160" s="1"/>
  <c r="AA20" i="160" s="1"/>
  <c r="AD20" i="160" s="1"/>
  <c r="AG20" i="160" s="1"/>
  <c r="AJ20" i="160" s="1"/>
  <c r="AM20" i="160" s="1"/>
  <c r="AP20" i="160" s="1"/>
  <c r="AS20" i="160" s="1"/>
  <c r="AV20" i="160" s="1"/>
  <c r="AY20" i="160" s="1"/>
  <c r="BB20" i="160" s="1"/>
  <c r="BE20" i="160" s="1"/>
  <c r="BH20" i="160" s="1"/>
  <c r="BK20" i="160" s="1"/>
  <c r="BN20" i="160" s="1"/>
  <c r="BQ20" i="160" s="1"/>
  <c r="BT20" i="160" s="1"/>
  <c r="BW20" i="160" s="1"/>
  <c r="BZ20" i="160" s="1"/>
  <c r="CC20" i="160" s="1"/>
  <c r="CF20" i="160" s="1"/>
  <c r="CI20" i="160" s="1"/>
  <c r="CL20" i="160" s="1"/>
  <c r="CO20" i="160" s="1"/>
  <c r="CR20" i="160" s="1"/>
  <c r="CU20" i="160" s="1"/>
  <c r="CV19" i="160"/>
  <c r="I19" i="160"/>
  <c r="L19" i="160" s="1"/>
  <c r="O19" i="160" s="1"/>
  <c r="R19" i="160" s="1"/>
  <c r="CV18" i="160"/>
  <c r="CW18" i="160"/>
  <c r="I18" i="160"/>
  <c r="L18" i="160" s="1"/>
  <c r="O18" i="160" s="1"/>
  <c r="R18" i="160" s="1"/>
  <c r="U18" i="160" s="1"/>
  <c r="X18" i="160" s="1"/>
  <c r="AA18" i="160" s="1"/>
  <c r="AD18" i="160" s="1"/>
  <c r="AG18" i="160" s="1"/>
  <c r="AJ18" i="160" s="1"/>
  <c r="AM18" i="160" s="1"/>
  <c r="AP18" i="160" s="1"/>
  <c r="AS18" i="160" s="1"/>
  <c r="AV18" i="160" s="1"/>
  <c r="AY18" i="160" s="1"/>
  <c r="BB18" i="160" s="1"/>
  <c r="BE18" i="160" s="1"/>
  <c r="BH18" i="160" s="1"/>
  <c r="BK18" i="160" s="1"/>
  <c r="BN18" i="160" s="1"/>
  <c r="BQ18" i="160" s="1"/>
  <c r="BT18" i="160" s="1"/>
  <c r="BW18" i="160" s="1"/>
  <c r="BZ18" i="160" s="1"/>
  <c r="CC18" i="160" s="1"/>
  <c r="CF18" i="160" s="1"/>
  <c r="CI18" i="160" s="1"/>
  <c r="CL18" i="160" s="1"/>
  <c r="CO18" i="160" s="1"/>
  <c r="CR18" i="160" s="1"/>
  <c r="CU18" i="160" s="1"/>
  <c r="I17" i="160"/>
  <c r="L17" i="160" s="1"/>
  <c r="O17" i="160" s="1"/>
  <c r="R17" i="160" s="1"/>
  <c r="U17" i="160" s="1"/>
  <c r="X17" i="160" s="1"/>
  <c r="AA17" i="160" s="1"/>
  <c r="AD17" i="160" s="1"/>
  <c r="AG17" i="160" s="1"/>
  <c r="AJ17" i="160" s="1"/>
  <c r="AM17" i="160" s="1"/>
  <c r="AP17" i="160" s="1"/>
  <c r="AS17" i="160" s="1"/>
  <c r="AV17" i="160" s="1"/>
  <c r="AY17" i="160" s="1"/>
  <c r="BB17" i="160" s="1"/>
  <c r="BE17" i="160" s="1"/>
  <c r="BH17" i="160" s="1"/>
  <c r="BK17" i="160" s="1"/>
  <c r="BN17" i="160" s="1"/>
  <c r="BQ17" i="160" s="1"/>
  <c r="BT17" i="160" s="1"/>
  <c r="BW17" i="160" s="1"/>
  <c r="BZ17" i="160" s="1"/>
  <c r="CC17" i="160" s="1"/>
  <c r="CF17" i="160" s="1"/>
  <c r="CI17" i="160" s="1"/>
  <c r="CL17" i="160" s="1"/>
  <c r="CO17" i="160" s="1"/>
  <c r="CR17" i="160" s="1"/>
  <c r="CU17" i="160" s="1"/>
  <c r="CV16" i="160"/>
  <c r="CV15" i="160"/>
  <c r="I15" i="160"/>
  <c r="CV14" i="160"/>
  <c r="CW14" i="160"/>
  <c r="CV13" i="160"/>
  <c r="I13" i="160"/>
  <c r="I12" i="160"/>
  <c r="L12" i="160" s="1"/>
  <c r="O12" i="160" s="1"/>
  <c r="R12" i="160" s="1"/>
  <c r="CW11" i="160"/>
  <c r="CV11" i="160"/>
  <c r="I11" i="160"/>
  <c r="L11" i="160" s="1"/>
  <c r="O11" i="160" s="1"/>
  <c r="R11" i="160" s="1"/>
  <c r="U11" i="160" s="1"/>
  <c r="X11" i="160" s="1"/>
  <c r="AA11" i="160" s="1"/>
  <c r="AD11" i="160" s="1"/>
  <c r="AG11" i="160" s="1"/>
  <c r="AJ11" i="160" s="1"/>
  <c r="AM11" i="160" s="1"/>
  <c r="AP11" i="160" s="1"/>
  <c r="AS11" i="160" s="1"/>
  <c r="AV11" i="160" s="1"/>
  <c r="AY11" i="160" s="1"/>
  <c r="BB11" i="160" s="1"/>
  <c r="BE11" i="160" s="1"/>
  <c r="BH11" i="160" s="1"/>
  <c r="BK11" i="160" s="1"/>
  <c r="BN11" i="160" s="1"/>
  <c r="BQ11" i="160" s="1"/>
  <c r="BT11" i="160" s="1"/>
  <c r="BW11" i="160" s="1"/>
  <c r="BZ11" i="160" s="1"/>
  <c r="CC11" i="160" s="1"/>
  <c r="CF11" i="160" s="1"/>
  <c r="CI11" i="160" s="1"/>
  <c r="CL11" i="160" s="1"/>
  <c r="CO11" i="160" s="1"/>
  <c r="CR11" i="160" s="1"/>
  <c r="CU11" i="160" s="1"/>
  <c r="CW10" i="160"/>
  <c r="CV10" i="160"/>
  <c r="I10" i="160"/>
  <c r="L10" i="160" s="1"/>
  <c r="O10" i="160" s="1"/>
  <c r="R10" i="160" s="1"/>
  <c r="U10" i="160" s="1"/>
  <c r="X10" i="160" s="1"/>
  <c r="AA10" i="160" s="1"/>
  <c r="AD10" i="160" s="1"/>
  <c r="AG10" i="160" s="1"/>
  <c r="AJ10" i="160" s="1"/>
  <c r="AM10" i="160" s="1"/>
  <c r="AP10" i="160" s="1"/>
  <c r="AS10" i="160" s="1"/>
  <c r="AV10" i="160" s="1"/>
  <c r="AY10" i="160" s="1"/>
  <c r="BB10" i="160" s="1"/>
  <c r="BE10" i="160" s="1"/>
  <c r="BH10" i="160" s="1"/>
  <c r="BK10" i="160" s="1"/>
  <c r="BN10" i="160" s="1"/>
  <c r="BQ10" i="160" s="1"/>
  <c r="BT10" i="160" s="1"/>
  <c r="BW10" i="160" s="1"/>
  <c r="BZ10" i="160" s="1"/>
  <c r="CC10" i="160" s="1"/>
  <c r="CF10" i="160" s="1"/>
  <c r="CI10" i="160" s="1"/>
  <c r="CL10" i="160" s="1"/>
  <c r="CO10" i="160" s="1"/>
  <c r="CR10" i="160" s="1"/>
  <c r="CU10" i="160" s="1"/>
  <c r="CW9" i="160"/>
  <c r="CV9" i="160"/>
  <c r="I9" i="160"/>
  <c r="L9" i="160" s="1"/>
  <c r="O9" i="160" s="1"/>
  <c r="R9" i="160" s="1"/>
  <c r="U9" i="160" s="1"/>
  <c r="X9" i="160" s="1"/>
  <c r="AA9" i="160" s="1"/>
  <c r="AD9" i="160" s="1"/>
  <c r="AG9" i="160" s="1"/>
  <c r="AJ9" i="160" s="1"/>
  <c r="AM9" i="160" s="1"/>
  <c r="AP9" i="160" s="1"/>
  <c r="AS9" i="160" s="1"/>
  <c r="AV9" i="160" s="1"/>
  <c r="AY9" i="160" s="1"/>
  <c r="BB9" i="160" s="1"/>
  <c r="BE9" i="160" s="1"/>
  <c r="BH9" i="160" s="1"/>
  <c r="BK9" i="160" s="1"/>
  <c r="BN9" i="160" s="1"/>
  <c r="BQ9" i="160" s="1"/>
  <c r="BT9" i="160" s="1"/>
  <c r="BW9" i="160" s="1"/>
  <c r="BZ9" i="160" s="1"/>
  <c r="CC9" i="160" s="1"/>
  <c r="CF9" i="160" s="1"/>
  <c r="CI9" i="160" s="1"/>
  <c r="CL9" i="160" s="1"/>
  <c r="CO9" i="160" s="1"/>
  <c r="CR9" i="160" s="1"/>
  <c r="CU9" i="160" s="1"/>
  <c r="CW8" i="160"/>
  <c r="CV8" i="160"/>
  <c r="I8" i="160"/>
  <c r="L8" i="160" s="1"/>
  <c r="O8" i="160" s="1"/>
  <c r="R8" i="160" s="1"/>
  <c r="U8" i="160" s="1"/>
  <c r="X8" i="160" s="1"/>
  <c r="AA8" i="160" s="1"/>
  <c r="AD8" i="160" s="1"/>
  <c r="AG8" i="160" s="1"/>
  <c r="AJ8" i="160" s="1"/>
  <c r="AM8" i="160" s="1"/>
  <c r="AP8" i="160" s="1"/>
  <c r="AS8" i="160" s="1"/>
  <c r="AV8" i="160" s="1"/>
  <c r="AY8" i="160" s="1"/>
  <c r="BB8" i="160" s="1"/>
  <c r="BE8" i="160" s="1"/>
  <c r="BH8" i="160" s="1"/>
  <c r="BK8" i="160" s="1"/>
  <c r="BN8" i="160" s="1"/>
  <c r="BQ8" i="160" s="1"/>
  <c r="BT8" i="160" s="1"/>
  <c r="BW8" i="160" s="1"/>
  <c r="BZ8" i="160" s="1"/>
  <c r="CC8" i="160" s="1"/>
  <c r="CF8" i="160" s="1"/>
  <c r="CI8" i="160" s="1"/>
  <c r="CL8" i="160" s="1"/>
  <c r="CO8" i="160" s="1"/>
  <c r="CR8" i="160" s="1"/>
  <c r="CU8" i="160" s="1"/>
  <c r="CW7" i="160"/>
  <c r="CV7" i="160"/>
  <c r="I7" i="160"/>
  <c r="L7" i="160" s="1"/>
  <c r="O7" i="160" s="1"/>
  <c r="R7" i="160" s="1"/>
  <c r="U7" i="160" s="1"/>
  <c r="X7" i="160" s="1"/>
  <c r="AA7" i="160" s="1"/>
  <c r="AD7" i="160" s="1"/>
  <c r="AG7" i="160" s="1"/>
  <c r="AJ7" i="160" s="1"/>
  <c r="AM7" i="160" s="1"/>
  <c r="AP7" i="160" s="1"/>
  <c r="AS7" i="160" s="1"/>
  <c r="AV7" i="160" s="1"/>
  <c r="AY7" i="160" s="1"/>
  <c r="BB7" i="160" s="1"/>
  <c r="BE7" i="160" s="1"/>
  <c r="BH7" i="160" s="1"/>
  <c r="BK7" i="160" s="1"/>
  <c r="BN7" i="160" s="1"/>
  <c r="BQ7" i="160" s="1"/>
  <c r="BT7" i="160" s="1"/>
  <c r="BW7" i="160" s="1"/>
  <c r="BZ7" i="160" s="1"/>
  <c r="CC7" i="160" s="1"/>
  <c r="CF7" i="160" s="1"/>
  <c r="CI7" i="160" s="1"/>
  <c r="CL7" i="160" s="1"/>
  <c r="CO7" i="160" s="1"/>
  <c r="CR7" i="160" s="1"/>
  <c r="CU7" i="160" s="1"/>
  <c r="CV6" i="160"/>
  <c r="I6" i="160"/>
  <c r="L6" i="160" s="1"/>
  <c r="O6" i="160" s="1"/>
  <c r="R6" i="160" s="1"/>
  <c r="CW5" i="160"/>
  <c r="CV5" i="160"/>
  <c r="I5" i="160"/>
  <c r="L5" i="160" s="1"/>
  <c r="O5" i="160" s="1"/>
  <c r="R5" i="160" s="1"/>
  <c r="U5" i="160" s="1"/>
  <c r="X5" i="160" s="1"/>
  <c r="AA5" i="160" s="1"/>
  <c r="AD5" i="160" s="1"/>
  <c r="AG5" i="160" s="1"/>
  <c r="AJ5" i="160" s="1"/>
  <c r="AM5" i="160" s="1"/>
  <c r="AP5" i="160" s="1"/>
  <c r="AS5" i="160" s="1"/>
  <c r="AV5" i="160" s="1"/>
  <c r="AY5" i="160" s="1"/>
  <c r="BB5" i="160" s="1"/>
  <c r="BE5" i="160" s="1"/>
  <c r="BH5" i="160" s="1"/>
  <c r="BK5" i="160" s="1"/>
  <c r="BN5" i="160" s="1"/>
  <c r="BQ5" i="160" s="1"/>
  <c r="BT5" i="160" s="1"/>
  <c r="BW5" i="160" s="1"/>
  <c r="BZ5" i="160" s="1"/>
  <c r="CC5" i="160" s="1"/>
  <c r="CF5" i="160" s="1"/>
  <c r="CI5" i="160" s="1"/>
  <c r="CL5" i="160" s="1"/>
  <c r="CO5" i="160" s="1"/>
  <c r="CR5" i="160" s="1"/>
  <c r="CU5" i="160" s="1"/>
  <c r="CJ36" i="159"/>
  <c r="CJ29" i="159"/>
  <c r="CJ17" i="159"/>
  <c r="CJ12" i="159"/>
  <c r="CG36" i="159"/>
  <c r="CG29" i="159"/>
  <c r="CG17" i="159"/>
  <c r="CG12" i="159"/>
  <c r="CD17" i="159"/>
  <c r="CH76" i="159"/>
  <c r="CH63" i="159"/>
  <c r="CH59" i="159"/>
  <c r="CH17" i="159"/>
  <c r="CH29" i="159"/>
  <c r="CH39" i="159"/>
  <c r="CH12" i="159"/>
  <c r="CH40" i="159"/>
  <c r="CH13" i="159"/>
  <c r="CH48" i="159"/>
  <c r="CD67" i="159"/>
  <c r="CD36" i="159"/>
  <c r="CD25" i="159"/>
  <c r="CE36" i="159"/>
  <c r="CE40" i="159"/>
  <c r="CE27" i="159"/>
  <c r="CE25" i="159"/>
  <c r="CE6" i="159"/>
  <c r="CH16" i="159"/>
  <c r="CH14" i="159"/>
  <c r="CE63" i="159"/>
  <c r="CE60" i="159"/>
  <c r="CE59" i="159"/>
  <c r="CE39" i="159"/>
  <c r="CE29" i="159"/>
  <c r="CE14" i="159"/>
  <c r="CE84" i="159"/>
  <c r="CE17" i="159"/>
  <c r="CE12" i="159"/>
  <c r="CE78" i="159"/>
  <c r="CE48" i="159"/>
  <c r="CE15" i="159"/>
  <c r="CE43" i="159"/>
  <c r="CE22" i="159"/>
  <c r="CE16" i="159"/>
  <c r="CE58" i="159"/>
  <c r="CE77" i="159"/>
  <c r="CE18" i="159"/>
  <c r="CA17" i="159"/>
  <c r="CB17" i="159"/>
  <c r="CA60" i="159"/>
  <c r="CA36" i="159"/>
  <c r="CA29" i="159"/>
  <c r="CA12" i="159"/>
  <c r="CB29" i="159"/>
  <c r="CB16" i="159"/>
  <c r="CB76" i="159"/>
  <c r="CB63" i="159"/>
  <c r="CB59" i="159"/>
  <c r="CB39" i="159"/>
  <c r="CB12" i="159"/>
  <c r="U12" i="160" l="1"/>
  <c r="X12" i="160" s="1"/>
  <c r="AA12" i="160" s="1"/>
  <c r="AD12" i="160" s="1"/>
  <c r="AG12" i="160" s="1"/>
  <c r="AJ12" i="160" s="1"/>
  <c r="AM12" i="160" s="1"/>
  <c r="AP12" i="160" s="1"/>
  <c r="AS12" i="160" s="1"/>
  <c r="AV12" i="160" s="1"/>
  <c r="AY12" i="160" s="1"/>
  <c r="BB12" i="160" s="1"/>
  <c r="BE12" i="160" s="1"/>
  <c r="BH12" i="160" s="1"/>
  <c r="BK12" i="160" s="1"/>
  <c r="BN12" i="160" s="1"/>
  <c r="BQ12" i="160" s="1"/>
  <c r="BT12" i="160" s="1"/>
  <c r="BW12" i="160" s="1"/>
  <c r="BZ12" i="160" s="1"/>
  <c r="CC12" i="160" s="1"/>
  <c r="CF12" i="160" s="1"/>
  <c r="CI12" i="160" s="1"/>
  <c r="CL12" i="160" s="1"/>
  <c r="CO12" i="160" s="1"/>
  <c r="CR12" i="160" s="1"/>
  <c r="CU12" i="160" s="1"/>
  <c r="DB12" i="160" s="1"/>
  <c r="DE12" i="160" s="1"/>
  <c r="U58" i="160"/>
  <c r="X58" i="160" s="1"/>
  <c r="AA58" i="160" s="1"/>
  <c r="AD58" i="160" s="1"/>
  <c r="AG58" i="160" s="1"/>
  <c r="AJ58" i="160" s="1"/>
  <c r="AM58" i="160" s="1"/>
  <c r="AP58" i="160" s="1"/>
  <c r="AS58" i="160" s="1"/>
  <c r="AV58" i="160" s="1"/>
  <c r="AY58" i="160" s="1"/>
  <c r="BB58" i="160" s="1"/>
  <c r="BE58" i="160" s="1"/>
  <c r="BH58" i="160" s="1"/>
  <c r="BK58" i="160" s="1"/>
  <c r="BN58" i="160" s="1"/>
  <c r="BQ58" i="160" s="1"/>
  <c r="BT58" i="160" s="1"/>
  <c r="BW58" i="160" s="1"/>
  <c r="BZ58" i="160" s="1"/>
  <c r="CC58" i="160" s="1"/>
  <c r="CF58" i="160" s="1"/>
  <c r="CI58" i="160" s="1"/>
  <c r="CL58" i="160" s="1"/>
  <c r="CO58" i="160" s="1"/>
  <c r="CR58" i="160" s="1"/>
  <c r="CU58" i="160" s="1"/>
  <c r="U77" i="160"/>
  <c r="X77" i="160" s="1"/>
  <c r="AA77" i="160" s="1"/>
  <c r="AD77" i="160" s="1"/>
  <c r="AG77" i="160" s="1"/>
  <c r="AJ77" i="160" s="1"/>
  <c r="AM77" i="160" s="1"/>
  <c r="AP77" i="160" s="1"/>
  <c r="AS77" i="160" s="1"/>
  <c r="AV77" i="160" s="1"/>
  <c r="AY77" i="160" s="1"/>
  <c r="BB77" i="160" s="1"/>
  <c r="BE77" i="160" s="1"/>
  <c r="BH77" i="160" s="1"/>
  <c r="BK77" i="160" s="1"/>
  <c r="BN77" i="160" s="1"/>
  <c r="BQ77" i="160" s="1"/>
  <c r="BT77" i="160" s="1"/>
  <c r="BW77" i="160" s="1"/>
  <c r="BZ77" i="160" s="1"/>
  <c r="CC77" i="160" s="1"/>
  <c r="CF77" i="160" s="1"/>
  <c r="CI77" i="160" s="1"/>
  <c r="CL77" i="160" s="1"/>
  <c r="CO77" i="160" s="1"/>
  <c r="CR77" i="160" s="1"/>
  <c r="CU77" i="160" s="1"/>
  <c r="CX77" i="160" s="1"/>
  <c r="CZ77" i="160" s="1"/>
  <c r="U39" i="160"/>
  <c r="X39" i="160" s="1"/>
  <c r="AA39" i="160" s="1"/>
  <c r="AD39" i="160" s="1"/>
  <c r="AG39" i="160" s="1"/>
  <c r="AJ39" i="160" s="1"/>
  <c r="AM39" i="160" s="1"/>
  <c r="AP39" i="160" s="1"/>
  <c r="AS39" i="160" s="1"/>
  <c r="AV39" i="160" s="1"/>
  <c r="AY39" i="160" s="1"/>
  <c r="BB39" i="160" s="1"/>
  <c r="BE39" i="160" s="1"/>
  <c r="BH39" i="160" s="1"/>
  <c r="BK39" i="160" s="1"/>
  <c r="BN39" i="160" s="1"/>
  <c r="BQ39" i="160" s="1"/>
  <c r="BT39" i="160" s="1"/>
  <c r="BW39" i="160" s="1"/>
  <c r="BZ39" i="160" s="1"/>
  <c r="CC39" i="160" s="1"/>
  <c r="CF39" i="160" s="1"/>
  <c r="CI39" i="160" s="1"/>
  <c r="CL39" i="160" s="1"/>
  <c r="CO39" i="160" s="1"/>
  <c r="CR39" i="160" s="1"/>
  <c r="CU39" i="160" s="1"/>
  <c r="CX39" i="160" s="1"/>
  <c r="CZ39" i="160" s="1"/>
  <c r="U19" i="160"/>
  <c r="X19" i="160" s="1"/>
  <c r="AA19" i="160" s="1"/>
  <c r="AD19" i="160" s="1"/>
  <c r="AG19" i="160" s="1"/>
  <c r="AJ19" i="160" s="1"/>
  <c r="AM19" i="160" s="1"/>
  <c r="AP19" i="160" s="1"/>
  <c r="AS19" i="160" s="1"/>
  <c r="AV19" i="160" s="1"/>
  <c r="AY19" i="160" s="1"/>
  <c r="BB19" i="160" s="1"/>
  <c r="BE19" i="160" s="1"/>
  <c r="BH19" i="160" s="1"/>
  <c r="BK19" i="160" s="1"/>
  <c r="BN19" i="160" s="1"/>
  <c r="BQ19" i="160" s="1"/>
  <c r="BT19" i="160" s="1"/>
  <c r="BW19" i="160" s="1"/>
  <c r="BZ19" i="160" s="1"/>
  <c r="CC19" i="160" s="1"/>
  <c r="CF19" i="160" s="1"/>
  <c r="CI19" i="160" s="1"/>
  <c r="CL19" i="160" s="1"/>
  <c r="CO19" i="160" s="1"/>
  <c r="CR19" i="160" s="1"/>
  <c r="CU19" i="160" s="1"/>
  <c r="CX19" i="160" s="1"/>
  <c r="CZ19" i="160" s="1"/>
  <c r="U71" i="160"/>
  <c r="X71" i="160" s="1"/>
  <c r="AA71" i="160" s="1"/>
  <c r="AD71" i="160" s="1"/>
  <c r="AG71" i="160" s="1"/>
  <c r="AJ71" i="160" s="1"/>
  <c r="AM71" i="160" s="1"/>
  <c r="AP71" i="160" s="1"/>
  <c r="AS71" i="160" s="1"/>
  <c r="AV71" i="160" s="1"/>
  <c r="AY71" i="160" s="1"/>
  <c r="BB71" i="160" s="1"/>
  <c r="BE71" i="160" s="1"/>
  <c r="BH71" i="160" s="1"/>
  <c r="BK71" i="160" s="1"/>
  <c r="BN71" i="160" s="1"/>
  <c r="BQ71" i="160" s="1"/>
  <c r="BT71" i="160" s="1"/>
  <c r="BW71" i="160" s="1"/>
  <c r="BZ71" i="160" s="1"/>
  <c r="CC71" i="160" s="1"/>
  <c r="CF71" i="160" s="1"/>
  <c r="CI71" i="160" s="1"/>
  <c r="CL71" i="160" s="1"/>
  <c r="CO71" i="160" s="1"/>
  <c r="CR71" i="160" s="1"/>
  <c r="CU71" i="160" s="1"/>
  <c r="DB71" i="160" s="1"/>
  <c r="DE71" i="160" s="1"/>
  <c r="U24" i="160"/>
  <c r="X24" i="160" s="1"/>
  <c r="AA24" i="160" s="1"/>
  <c r="AD24" i="160" s="1"/>
  <c r="AG24" i="160" s="1"/>
  <c r="AJ24" i="160" s="1"/>
  <c r="AM24" i="160" s="1"/>
  <c r="AP24" i="160" s="1"/>
  <c r="AS24" i="160" s="1"/>
  <c r="AV24" i="160" s="1"/>
  <c r="AY24" i="160" s="1"/>
  <c r="BB24" i="160" s="1"/>
  <c r="BE24" i="160" s="1"/>
  <c r="BH24" i="160" s="1"/>
  <c r="BK24" i="160" s="1"/>
  <c r="BN24" i="160" s="1"/>
  <c r="BQ24" i="160" s="1"/>
  <c r="BT24" i="160" s="1"/>
  <c r="BW24" i="160" s="1"/>
  <c r="BZ24" i="160" s="1"/>
  <c r="CC24" i="160" s="1"/>
  <c r="CF24" i="160" s="1"/>
  <c r="CI24" i="160" s="1"/>
  <c r="CL24" i="160" s="1"/>
  <c r="CO24" i="160" s="1"/>
  <c r="CR24" i="160" s="1"/>
  <c r="CU24" i="160" s="1"/>
  <c r="CX24" i="160" s="1"/>
  <c r="CZ24" i="160" s="1"/>
  <c r="U40" i="160"/>
  <c r="X40" i="160" s="1"/>
  <c r="AA40" i="160" s="1"/>
  <c r="AD40" i="160" s="1"/>
  <c r="AG40" i="160" s="1"/>
  <c r="AJ40" i="160" s="1"/>
  <c r="AM40" i="160" s="1"/>
  <c r="AP40" i="160" s="1"/>
  <c r="AS40" i="160" s="1"/>
  <c r="AV40" i="160" s="1"/>
  <c r="AY40" i="160" s="1"/>
  <c r="BB40" i="160" s="1"/>
  <c r="BE40" i="160" s="1"/>
  <c r="BH40" i="160" s="1"/>
  <c r="BK40" i="160" s="1"/>
  <c r="BN40" i="160" s="1"/>
  <c r="BQ40" i="160" s="1"/>
  <c r="BT40" i="160" s="1"/>
  <c r="BW40" i="160" s="1"/>
  <c r="BZ40" i="160" s="1"/>
  <c r="CC40" i="160" s="1"/>
  <c r="CF40" i="160" s="1"/>
  <c r="CI40" i="160" s="1"/>
  <c r="CL40" i="160" s="1"/>
  <c r="CO40" i="160" s="1"/>
  <c r="CR40" i="160" s="1"/>
  <c r="CU40" i="160" s="1"/>
  <c r="DB40" i="160" s="1"/>
  <c r="DE40" i="160" s="1"/>
  <c r="U6" i="160"/>
  <c r="X6" i="160" s="1"/>
  <c r="AA6" i="160" s="1"/>
  <c r="AD6" i="160" s="1"/>
  <c r="AG6" i="160" s="1"/>
  <c r="AJ6" i="160" s="1"/>
  <c r="AM6" i="160" s="1"/>
  <c r="AP6" i="160" s="1"/>
  <c r="AS6" i="160" s="1"/>
  <c r="AV6" i="160" s="1"/>
  <c r="AY6" i="160" s="1"/>
  <c r="BB6" i="160" s="1"/>
  <c r="BE6" i="160" s="1"/>
  <c r="BH6" i="160" s="1"/>
  <c r="BK6" i="160" s="1"/>
  <c r="BN6" i="160" s="1"/>
  <c r="BQ6" i="160" s="1"/>
  <c r="BT6" i="160" s="1"/>
  <c r="BW6" i="160" s="1"/>
  <c r="BZ6" i="160" s="1"/>
  <c r="CC6" i="160" s="1"/>
  <c r="CF6" i="160" s="1"/>
  <c r="CI6" i="160" s="1"/>
  <c r="CL6" i="160" s="1"/>
  <c r="CO6" i="160" s="1"/>
  <c r="CR6" i="160" s="1"/>
  <c r="CU6" i="160" s="1"/>
  <c r="DB6" i="160" s="1"/>
  <c r="DE6" i="160" s="1"/>
  <c r="L15" i="160"/>
  <c r="O15" i="160" s="1"/>
  <c r="R15" i="160" s="1"/>
  <c r="U15" i="160" s="1"/>
  <c r="X15" i="160" s="1"/>
  <c r="AA15" i="160" s="1"/>
  <c r="AD15" i="160" s="1"/>
  <c r="AG15" i="160" s="1"/>
  <c r="AJ15" i="160" s="1"/>
  <c r="AM15" i="160" s="1"/>
  <c r="AP15" i="160" s="1"/>
  <c r="AS15" i="160" s="1"/>
  <c r="AV15" i="160" s="1"/>
  <c r="AY15" i="160" s="1"/>
  <c r="BB15" i="160" s="1"/>
  <c r="BE15" i="160" s="1"/>
  <c r="BH15" i="160" s="1"/>
  <c r="BK15" i="160" s="1"/>
  <c r="BN15" i="160" s="1"/>
  <c r="BQ15" i="160" s="1"/>
  <c r="BT15" i="160" s="1"/>
  <c r="BW15" i="160" s="1"/>
  <c r="BZ15" i="160" s="1"/>
  <c r="CC15" i="160" s="1"/>
  <c r="CF15" i="160" s="1"/>
  <c r="CI15" i="160" s="1"/>
  <c r="CL15" i="160" s="1"/>
  <c r="CO15" i="160" s="1"/>
  <c r="CR15" i="160" s="1"/>
  <c r="CU15" i="160" s="1"/>
  <c r="DB15" i="160" s="1"/>
  <c r="DE15" i="160" s="1"/>
  <c r="DB9" i="160"/>
  <c r="DE9" i="160" s="1"/>
  <c r="CX9" i="160"/>
  <c r="CZ9" i="160" s="1"/>
  <c r="DB46" i="160"/>
  <c r="DE46" i="160" s="1"/>
  <c r="CX46" i="160"/>
  <c r="CZ46" i="160" s="1"/>
  <c r="DB33" i="160"/>
  <c r="DE33" i="160" s="1"/>
  <c r="CX33" i="160"/>
  <c r="CZ33" i="160" s="1"/>
  <c r="DB50" i="160"/>
  <c r="DE50" i="160" s="1"/>
  <c r="CX50" i="160"/>
  <c r="CZ50" i="160" s="1"/>
  <c r="CX30" i="160"/>
  <c r="CZ30" i="160" s="1"/>
  <c r="DB30" i="160"/>
  <c r="DE30" i="160" s="1"/>
  <c r="CX44" i="160"/>
  <c r="CZ44" i="160" s="1"/>
  <c r="DB44" i="160"/>
  <c r="DE44" i="160" s="1"/>
  <c r="CX10" i="160"/>
  <c r="CZ10" i="160" s="1"/>
  <c r="DB10" i="160"/>
  <c r="DE10" i="160" s="1"/>
  <c r="CX8" i="160"/>
  <c r="CZ8" i="160" s="1"/>
  <c r="DB8" i="160"/>
  <c r="DE8" i="160" s="1"/>
  <c r="DB21" i="160"/>
  <c r="DE21" i="160" s="1"/>
  <c r="CX21" i="160"/>
  <c r="CZ21" i="160" s="1"/>
  <c r="CX31" i="160"/>
  <c r="CZ31" i="160" s="1"/>
  <c r="DB31" i="160"/>
  <c r="DE31" i="160" s="1"/>
  <c r="DB35" i="160"/>
  <c r="DE35" i="160" s="1"/>
  <c r="CX35" i="160"/>
  <c r="CZ35" i="160" s="1"/>
  <c r="CX52" i="160"/>
  <c r="CZ52" i="160" s="1"/>
  <c r="DB52" i="160"/>
  <c r="DE52" i="160" s="1"/>
  <c r="CX54" i="160"/>
  <c r="CZ54" i="160" s="1"/>
  <c r="DB54" i="160"/>
  <c r="DE54" i="160" s="1"/>
  <c r="DB38" i="160"/>
  <c r="DE38" i="160" s="1"/>
  <c r="CX38" i="160"/>
  <c r="CZ38" i="160" s="1"/>
  <c r="DB45" i="160"/>
  <c r="DE45" i="160" s="1"/>
  <c r="CX45" i="160"/>
  <c r="CZ45" i="160" s="1"/>
  <c r="DB47" i="160"/>
  <c r="DE47" i="160" s="1"/>
  <c r="CX47" i="160"/>
  <c r="CZ47" i="160" s="1"/>
  <c r="DB56" i="160"/>
  <c r="DE56" i="160" s="1"/>
  <c r="CX56" i="160"/>
  <c r="CZ56" i="160" s="1"/>
  <c r="DB20" i="160"/>
  <c r="DE20" i="160" s="1"/>
  <c r="CX20" i="160"/>
  <c r="CZ20" i="160" s="1"/>
  <c r="CX41" i="160"/>
  <c r="CZ41" i="160" s="1"/>
  <c r="DB41" i="160"/>
  <c r="DE41" i="160" s="1"/>
  <c r="DB42" i="160"/>
  <c r="DE42" i="160" s="1"/>
  <c r="CX42" i="160"/>
  <c r="CZ42" i="160" s="1"/>
  <c r="DB7" i="160"/>
  <c r="DE7" i="160" s="1"/>
  <c r="CX7" i="160"/>
  <c r="CZ7" i="160" s="1"/>
  <c r="DB18" i="160"/>
  <c r="DE18" i="160" s="1"/>
  <c r="CX18" i="160"/>
  <c r="CZ18" i="160" s="1"/>
  <c r="CX51" i="160"/>
  <c r="CZ51" i="160" s="1"/>
  <c r="DB51" i="160"/>
  <c r="DE51" i="160" s="1"/>
  <c r="DB5" i="160"/>
  <c r="DE5" i="160" s="1"/>
  <c r="CX5" i="160"/>
  <c r="CZ5" i="160" s="1"/>
  <c r="CX11" i="160"/>
  <c r="CZ11" i="160" s="1"/>
  <c r="DB11" i="160"/>
  <c r="DE11" i="160" s="1"/>
  <c r="DB29" i="160"/>
  <c r="DE29" i="160" s="1"/>
  <c r="CX29" i="160"/>
  <c r="CZ29" i="160" s="1"/>
  <c r="CX34" i="160"/>
  <c r="CZ34" i="160" s="1"/>
  <c r="DB34" i="160"/>
  <c r="DE34" i="160" s="1"/>
  <c r="CX37" i="160"/>
  <c r="CZ37" i="160" s="1"/>
  <c r="DB37" i="160"/>
  <c r="DE37" i="160" s="1"/>
  <c r="DB49" i="160"/>
  <c r="DE49" i="160" s="1"/>
  <c r="CX49" i="160"/>
  <c r="CZ49" i="160" s="1"/>
  <c r="DB17" i="160"/>
  <c r="DE17" i="160" s="1"/>
  <c r="CX17" i="160"/>
  <c r="CZ17" i="160" s="1"/>
  <c r="DB26" i="160"/>
  <c r="DE26" i="160" s="1"/>
  <c r="CX26" i="160"/>
  <c r="CZ26" i="160" s="1"/>
  <c r="DB32" i="160"/>
  <c r="DE32" i="160" s="1"/>
  <c r="CX32" i="160"/>
  <c r="CZ32" i="160" s="1"/>
  <c r="DB53" i="160"/>
  <c r="DE53" i="160" s="1"/>
  <c r="CX53" i="160"/>
  <c r="CZ53" i="160" s="1"/>
  <c r="CX55" i="160"/>
  <c r="CZ55" i="160" s="1"/>
  <c r="DB55" i="160"/>
  <c r="DE55" i="160" s="1"/>
  <c r="I14" i="160"/>
  <c r="L14" i="160" s="1"/>
  <c r="O14" i="160" s="1"/>
  <c r="R14" i="160" s="1"/>
  <c r="U14" i="160" s="1"/>
  <c r="X14" i="160" s="1"/>
  <c r="AA14" i="160" s="1"/>
  <c r="AD14" i="160" s="1"/>
  <c r="AG14" i="160" s="1"/>
  <c r="AJ14" i="160" s="1"/>
  <c r="AM14" i="160" s="1"/>
  <c r="AP14" i="160" s="1"/>
  <c r="AS14" i="160" s="1"/>
  <c r="AV14" i="160" s="1"/>
  <c r="AY14" i="160" s="1"/>
  <c r="BB14" i="160" s="1"/>
  <c r="BE14" i="160" s="1"/>
  <c r="BH14" i="160" s="1"/>
  <c r="BK14" i="160" s="1"/>
  <c r="BN14" i="160" s="1"/>
  <c r="BQ14" i="160" s="1"/>
  <c r="BT14" i="160" s="1"/>
  <c r="BW14" i="160" s="1"/>
  <c r="BZ14" i="160" s="1"/>
  <c r="CC14" i="160" s="1"/>
  <c r="CF14" i="160" s="1"/>
  <c r="CI14" i="160" s="1"/>
  <c r="CL14" i="160" s="1"/>
  <c r="CO14" i="160" s="1"/>
  <c r="CR14" i="160" s="1"/>
  <c r="CU14" i="160" s="1"/>
  <c r="DB57" i="160"/>
  <c r="DE57" i="160" s="1"/>
  <c r="CX57" i="160"/>
  <c r="CZ57" i="160" s="1"/>
  <c r="CX65" i="160"/>
  <c r="CZ65" i="160" s="1"/>
  <c r="DB65" i="160"/>
  <c r="DE65" i="160" s="1"/>
  <c r="CX61" i="160"/>
  <c r="CZ61" i="160" s="1"/>
  <c r="DB61" i="160"/>
  <c r="DE61" i="160" s="1"/>
  <c r="CW12" i="160"/>
  <c r="CV12" i="160"/>
  <c r="DB70" i="160"/>
  <c r="DE70" i="160" s="1"/>
  <c r="CX70" i="160"/>
  <c r="CZ70" i="160" s="1"/>
  <c r="CW16" i="160"/>
  <c r="CV17" i="160"/>
  <c r="CV29" i="160"/>
  <c r="CV36" i="160"/>
  <c r="DB73" i="160"/>
  <c r="DE73" i="160" s="1"/>
  <c r="CX73" i="160"/>
  <c r="CZ73" i="160" s="1"/>
  <c r="CX67" i="160"/>
  <c r="CZ67" i="160" s="1"/>
  <c r="DB67" i="160"/>
  <c r="DE67" i="160" s="1"/>
  <c r="L13" i="160"/>
  <c r="O13" i="160" s="1"/>
  <c r="R13" i="160" s="1"/>
  <c r="U13" i="160" s="1"/>
  <c r="X13" i="160" s="1"/>
  <c r="AA13" i="160" s="1"/>
  <c r="AD13" i="160" s="1"/>
  <c r="AG13" i="160" s="1"/>
  <c r="AJ13" i="160" s="1"/>
  <c r="AM13" i="160" s="1"/>
  <c r="AP13" i="160" s="1"/>
  <c r="AS13" i="160" s="1"/>
  <c r="AV13" i="160" s="1"/>
  <c r="AY13" i="160" s="1"/>
  <c r="BB13" i="160" s="1"/>
  <c r="BE13" i="160" s="1"/>
  <c r="BH13" i="160" s="1"/>
  <c r="BK13" i="160" s="1"/>
  <c r="BN13" i="160" s="1"/>
  <c r="BQ13" i="160" s="1"/>
  <c r="BT13" i="160" s="1"/>
  <c r="BW13" i="160" s="1"/>
  <c r="BZ13" i="160" s="1"/>
  <c r="CC13" i="160" s="1"/>
  <c r="CF13" i="160" s="1"/>
  <c r="CI13" i="160" s="1"/>
  <c r="CL13" i="160" s="1"/>
  <c r="CO13" i="160" s="1"/>
  <c r="CR13" i="160" s="1"/>
  <c r="CU13" i="160" s="1"/>
  <c r="I16" i="160"/>
  <c r="L16" i="160" s="1"/>
  <c r="O16" i="160" s="1"/>
  <c r="R16" i="160" s="1"/>
  <c r="U16" i="160" s="1"/>
  <c r="X16" i="160" s="1"/>
  <c r="AA16" i="160" s="1"/>
  <c r="AD16" i="160" s="1"/>
  <c r="AG16" i="160" s="1"/>
  <c r="AJ16" i="160" s="1"/>
  <c r="AM16" i="160" s="1"/>
  <c r="AP16" i="160" s="1"/>
  <c r="AS16" i="160" s="1"/>
  <c r="AV16" i="160" s="1"/>
  <c r="AY16" i="160" s="1"/>
  <c r="BB16" i="160" s="1"/>
  <c r="BE16" i="160" s="1"/>
  <c r="BH16" i="160" s="1"/>
  <c r="BK16" i="160" s="1"/>
  <c r="BN16" i="160" s="1"/>
  <c r="BQ16" i="160" s="1"/>
  <c r="BT16" i="160" s="1"/>
  <c r="BW16" i="160" s="1"/>
  <c r="BZ16" i="160" s="1"/>
  <c r="CC16" i="160" s="1"/>
  <c r="CF16" i="160" s="1"/>
  <c r="CI16" i="160" s="1"/>
  <c r="CL16" i="160" s="1"/>
  <c r="CO16" i="160" s="1"/>
  <c r="CR16" i="160" s="1"/>
  <c r="CU16" i="160" s="1"/>
  <c r="CW29" i="160"/>
  <c r="CW36" i="160"/>
  <c r="I36" i="160"/>
  <c r="L36" i="160" s="1"/>
  <c r="O36" i="160" s="1"/>
  <c r="R36" i="160" s="1"/>
  <c r="U36" i="160" s="1"/>
  <c r="X36" i="160" s="1"/>
  <c r="AA36" i="160" s="1"/>
  <c r="AD36" i="160" s="1"/>
  <c r="AG36" i="160" s="1"/>
  <c r="AJ36" i="160" s="1"/>
  <c r="AM36" i="160" s="1"/>
  <c r="AP36" i="160" s="1"/>
  <c r="AS36" i="160" s="1"/>
  <c r="AV36" i="160" s="1"/>
  <c r="AY36" i="160" s="1"/>
  <c r="BB36" i="160" s="1"/>
  <c r="BE36" i="160" s="1"/>
  <c r="BH36" i="160" s="1"/>
  <c r="BK36" i="160" s="1"/>
  <c r="BN36" i="160" s="1"/>
  <c r="BQ36" i="160" s="1"/>
  <c r="BT36" i="160" s="1"/>
  <c r="BW36" i="160" s="1"/>
  <c r="BZ36" i="160" s="1"/>
  <c r="CC36" i="160" s="1"/>
  <c r="CF36" i="160" s="1"/>
  <c r="CI36" i="160" s="1"/>
  <c r="CL36" i="160" s="1"/>
  <c r="CO36" i="160" s="1"/>
  <c r="CR36" i="160" s="1"/>
  <c r="CU36" i="160" s="1"/>
  <c r="U23" i="160"/>
  <c r="X23" i="160" s="1"/>
  <c r="AA23" i="160" s="1"/>
  <c r="AD23" i="160" s="1"/>
  <c r="AG23" i="160" s="1"/>
  <c r="AJ23" i="160" s="1"/>
  <c r="AM23" i="160" s="1"/>
  <c r="AP23" i="160" s="1"/>
  <c r="AS23" i="160" s="1"/>
  <c r="AV23" i="160" s="1"/>
  <c r="AY23" i="160" s="1"/>
  <c r="BB23" i="160" s="1"/>
  <c r="BE23" i="160" s="1"/>
  <c r="BH23" i="160" s="1"/>
  <c r="BK23" i="160" s="1"/>
  <c r="BN23" i="160" s="1"/>
  <c r="BQ23" i="160" s="1"/>
  <c r="BT23" i="160" s="1"/>
  <c r="BW23" i="160" s="1"/>
  <c r="BZ23" i="160" s="1"/>
  <c r="CC23" i="160" s="1"/>
  <c r="CF23" i="160" s="1"/>
  <c r="CI23" i="160" s="1"/>
  <c r="CL23" i="160" s="1"/>
  <c r="CO23" i="160" s="1"/>
  <c r="CR23" i="160" s="1"/>
  <c r="CU23" i="160" s="1"/>
  <c r="U43" i="160"/>
  <c r="X43" i="160" s="1"/>
  <c r="AA43" i="160" s="1"/>
  <c r="AD43" i="160" s="1"/>
  <c r="AG43" i="160" s="1"/>
  <c r="AJ43" i="160" s="1"/>
  <c r="AM43" i="160" s="1"/>
  <c r="AP43" i="160" s="1"/>
  <c r="AS43" i="160" s="1"/>
  <c r="AV43" i="160" s="1"/>
  <c r="AY43" i="160" s="1"/>
  <c r="BB43" i="160" s="1"/>
  <c r="BE43" i="160" s="1"/>
  <c r="BH43" i="160" s="1"/>
  <c r="BK43" i="160" s="1"/>
  <c r="BN43" i="160" s="1"/>
  <c r="BQ43" i="160" s="1"/>
  <c r="BT43" i="160" s="1"/>
  <c r="BW43" i="160" s="1"/>
  <c r="BZ43" i="160" s="1"/>
  <c r="CC43" i="160" s="1"/>
  <c r="CF43" i="160" s="1"/>
  <c r="CI43" i="160" s="1"/>
  <c r="CL43" i="160" s="1"/>
  <c r="CO43" i="160" s="1"/>
  <c r="CR43" i="160" s="1"/>
  <c r="CU43" i="160" s="1"/>
  <c r="DB62" i="160"/>
  <c r="DE62" i="160" s="1"/>
  <c r="CX62" i="160"/>
  <c r="CZ62" i="160" s="1"/>
  <c r="CX66" i="160"/>
  <c r="CZ66" i="160" s="1"/>
  <c r="DB66" i="160"/>
  <c r="DE66" i="160" s="1"/>
  <c r="CX69" i="160"/>
  <c r="CZ69" i="160" s="1"/>
  <c r="DB69" i="160"/>
  <c r="DE69" i="160" s="1"/>
  <c r="CX74" i="160"/>
  <c r="CZ74" i="160" s="1"/>
  <c r="DB74" i="160"/>
  <c r="DE74" i="160" s="1"/>
  <c r="U25" i="160"/>
  <c r="X25" i="160" s="1"/>
  <c r="AA25" i="160" s="1"/>
  <c r="AD25" i="160" s="1"/>
  <c r="AG25" i="160" s="1"/>
  <c r="AJ25" i="160" s="1"/>
  <c r="AM25" i="160" s="1"/>
  <c r="AP25" i="160" s="1"/>
  <c r="AS25" i="160" s="1"/>
  <c r="AV25" i="160" s="1"/>
  <c r="AY25" i="160" s="1"/>
  <c r="BB25" i="160" s="1"/>
  <c r="BE25" i="160" s="1"/>
  <c r="BH25" i="160" s="1"/>
  <c r="BK25" i="160" s="1"/>
  <c r="BN25" i="160" s="1"/>
  <c r="BQ25" i="160" s="1"/>
  <c r="BT25" i="160" s="1"/>
  <c r="BW25" i="160" s="1"/>
  <c r="BZ25" i="160" s="1"/>
  <c r="CC25" i="160" s="1"/>
  <c r="CF25" i="160" s="1"/>
  <c r="CI25" i="160" s="1"/>
  <c r="CL25" i="160" s="1"/>
  <c r="CO25" i="160" s="1"/>
  <c r="CR25" i="160" s="1"/>
  <c r="CU25" i="160" s="1"/>
  <c r="I22" i="160"/>
  <c r="L22" i="160" s="1"/>
  <c r="O22" i="160" s="1"/>
  <c r="R22" i="160" s="1"/>
  <c r="U22" i="160" s="1"/>
  <c r="X22" i="160" s="1"/>
  <c r="AA22" i="160" s="1"/>
  <c r="AD22" i="160" s="1"/>
  <c r="AG22" i="160" s="1"/>
  <c r="AJ22" i="160" s="1"/>
  <c r="AM22" i="160" s="1"/>
  <c r="AP22" i="160" s="1"/>
  <c r="AS22" i="160" s="1"/>
  <c r="AV22" i="160" s="1"/>
  <c r="AY22" i="160" s="1"/>
  <c r="BB22" i="160" s="1"/>
  <c r="BE22" i="160" s="1"/>
  <c r="BH22" i="160" s="1"/>
  <c r="BK22" i="160" s="1"/>
  <c r="BN22" i="160" s="1"/>
  <c r="BQ22" i="160" s="1"/>
  <c r="BT22" i="160" s="1"/>
  <c r="BW22" i="160" s="1"/>
  <c r="BZ22" i="160" s="1"/>
  <c r="CC22" i="160" s="1"/>
  <c r="CF22" i="160" s="1"/>
  <c r="CI22" i="160" s="1"/>
  <c r="CL22" i="160" s="1"/>
  <c r="CO22" i="160" s="1"/>
  <c r="CR22" i="160" s="1"/>
  <c r="CU22" i="160" s="1"/>
  <c r="CW22" i="160"/>
  <c r="CV39" i="160"/>
  <c r="DB64" i="160"/>
  <c r="DE64" i="160" s="1"/>
  <c r="CX64" i="160"/>
  <c r="CZ64" i="160" s="1"/>
  <c r="DB68" i="160"/>
  <c r="DE68" i="160" s="1"/>
  <c r="CX68" i="160"/>
  <c r="CZ68" i="160" s="1"/>
  <c r="CW27" i="160"/>
  <c r="I27" i="160"/>
  <c r="L27" i="160" s="1"/>
  <c r="O27" i="160" s="1"/>
  <c r="R27" i="160" s="1"/>
  <c r="U27" i="160" s="1"/>
  <c r="X27" i="160" s="1"/>
  <c r="AA27" i="160" s="1"/>
  <c r="AD27" i="160" s="1"/>
  <c r="AG27" i="160" s="1"/>
  <c r="AJ27" i="160" s="1"/>
  <c r="AM27" i="160" s="1"/>
  <c r="AP27" i="160" s="1"/>
  <c r="AS27" i="160" s="1"/>
  <c r="AV27" i="160" s="1"/>
  <c r="AY27" i="160" s="1"/>
  <c r="BB27" i="160" s="1"/>
  <c r="BE27" i="160" s="1"/>
  <c r="BH27" i="160" s="1"/>
  <c r="BK27" i="160" s="1"/>
  <c r="BN27" i="160" s="1"/>
  <c r="BQ27" i="160" s="1"/>
  <c r="BT27" i="160" s="1"/>
  <c r="BW27" i="160" s="1"/>
  <c r="BZ27" i="160" s="1"/>
  <c r="CC27" i="160" s="1"/>
  <c r="CF27" i="160" s="1"/>
  <c r="CI27" i="160" s="1"/>
  <c r="CL27" i="160" s="1"/>
  <c r="CO27" i="160" s="1"/>
  <c r="CR27" i="160" s="1"/>
  <c r="CU27" i="160" s="1"/>
  <c r="L63" i="160"/>
  <c r="O63" i="160" s="1"/>
  <c r="R63" i="160" s="1"/>
  <c r="U63" i="160" s="1"/>
  <c r="X63" i="160" s="1"/>
  <c r="AA63" i="160" s="1"/>
  <c r="AD63" i="160" s="1"/>
  <c r="AG63" i="160" s="1"/>
  <c r="AJ63" i="160" s="1"/>
  <c r="AM63" i="160" s="1"/>
  <c r="AP63" i="160" s="1"/>
  <c r="AS63" i="160" s="1"/>
  <c r="AV63" i="160" s="1"/>
  <c r="AY63" i="160" s="1"/>
  <c r="BB63" i="160" s="1"/>
  <c r="BE63" i="160" s="1"/>
  <c r="BH63" i="160" s="1"/>
  <c r="BK63" i="160" s="1"/>
  <c r="BN63" i="160" s="1"/>
  <c r="BQ63" i="160" s="1"/>
  <c r="BT63" i="160" s="1"/>
  <c r="BW63" i="160" s="1"/>
  <c r="BZ63" i="160" s="1"/>
  <c r="CC63" i="160" s="1"/>
  <c r="CF63" i="160" s="1"/>
  <c r="CI63" i="160" s="1"/>
  <c r="CL63" i="160" s="1"/>
  <c r="CO63" i="160" s="1"/>
  <c r="CR63" i="160" s="1"/>
  <c r="CU63" i="160" s="1"/>
  <c r="CV72" i="160"/>
  <c r="L72" i="160"/>
  <c r="O72" i="160" s="1"/>
  <c r="R72" i="160" s="1"/>
  <c r="U72" i="160" s="1"/>
  <c r="X72" i="160" s="1"/>
  <c r="AA72" i="160" s="1"/>
  <c r="AD72" i="160" s="1"/>
  <c r="AG72" i="160" s="1"/>
  <c r="AJ72" i="160" s="1"/>
  <c r="AM72" i="160" s="1"/>
  <c r="AP72" i="160" s="1"/>
  <c r="AS72" i="160" s="1"/>
  <c r="AV72" i="160" s="1"/>
  <c r="AY72" i="160" s="1"/>
  <c r="BB72" i="160" s="1"/>
  <c r="BE72" i="160" s="1"/>
  <c r="BH72" i="160" s="1"/>
  <c r="BK72" i="160" s="1"/>
  <c r="BN72" i="160" s="1"/>
  <c r="BQ72" i="160" s="1"/>
  <c r="BT72" i="160" s="1"/>
  <c r="BW72" i="160" s="1"/>
  <c r="BZ72" i="160" s="1"/>
  <c r="CC72" i="160" s="1"/>
  <c r="CF72" i="160" s="1"/>
  <c r="CI72" i="160" s="1"/>
  <c r="CL72" i="160" s="1"/>
  <c r="CO72" i="160" s="1"/>
  <c r="CR72" i="160" s="1"/>
  <c r="CU72" i="160" s="1"/>
  <c r="O60" i="160"/>
  <c r="R60" i="160" s="1"/>
  <c r="U60" i="160" s="1"/>
  <c r="X60" i="160" s="1"/>
  <c r="AA60" i="160" s="1"/>
  <c r="AD60" i="160" s="1"/>
  <c r="AG60" i="160" s="1"/>
  <c r="AJ60" i="160" s="1"/>
  <c r="AM60" i="160" s="1"/>
  <c r="AP60" i="160" s="1"/>
  <c r="AS60" i="160" s="1"/>
  <c r="AV60" i="160" s="1"/>
  <c r="AY60" i="160" s="1"/>
  <c r="BB60" i="160" s="1"/>
  <c r="BE60" i="160" s="1"/>
  <c r="BH60" i="160" s="1"/>
  <c r="BK60" i="160" s="1"/>
  <c r="BN60" i="160" s="1"/>
  <c r="BQ60" i="160" s="1"/>
  <c r="BT60" i="160" s="1"/>
  <c r="BW60" i="160" s="1"/>
  <c r="BZ60" i="160" s="1"/>
  <c r="CC60" i="160" s="1"/>
  <c r="CF60" i="160" s="1"/>
  <c r="CI60" i="160" s="1"/>
  <c r="CL60" i="160" s="1"/>
  <c r="CO60" i="160" s="1"/>
  <c r="CR60" i="160" s="1"/>
  <c r="CU60" i="160" s="1"/>
  <c r="CW13" i="160"/>
  <c r="I28" i="160"/>
  <c r="L28" i="160" s="1"/>
  <c r="O28" i="160" s="1"/>
  <c r="R28" i="160" s="1"/>
  <c r="U28" i="160" s="1"/>
  <c r="X28" i="160" s="1"/>
  <c r="AA28" i="160" s="1"/>
  <c r="AD28" i="160" s="1"/>
  <c r="AG28" i="160" s="1"/>
  <c r="AJ28" i="160" s="1"/>
  <c r="AM28" i="160" s="1"/>
  <c r="AP28" i="160" s="1"/>
  <c r="AS28" i="160" s="1"/>
  <c r="AV28" i="160" s="1"/>
  <c r="AY28" i="160" s="1"/>
  <c r="BB28" i="160" s="1"/>
  <c r="BE28" i="160" s="1"/>
  <c r="BH28" i="160" s="1"/>
  <c r="BK28" i="160" s="1"/>
  <c r="BN28" i="160" s="1"/>
  <c r="BQ28" i="160" s="1"/>
  <c r="BT28" i="160" s="1"/>
  <c r="BW28" i="160" s="1"/>
  <c r="BZ28" i="160" s="1"/>
  <c r="CC28" i="160" s="1"/>
  <c r="CF28" i="160" s="1"/>
  <c r="CI28" i="160" s="1"/>
  <c r="CL28" i="160" s="1"/>
  <c r="CO28" i="160" s="1"/>
  <c r="CR28" i="160" s="1"/>
  <c r="CU28" i="160" s="1"/>
  <c r="U48" i="160"/>
  <c r="X48" i="160" s="1"/>
  <c r="AA48" i="160" s="1"/>
  <c r="AD48" i="160" s="1"/>
  <c r="AG48" i="160" s="1"/>
  <c r="AJ48" i="160" s="1"/>
  <c r="AM48" i="160" s="1"/>
  <c r="AP48" i="160" s="1"/>
  <c r="AS48" i="160" s="1"/>
  <c r="AV48" i="160" s="1"/>
  <c r="AY48" i="160" s="1"/>
  <c r="BB48" i="160" s="1"/>
  <c r="BE48" i="160" s="1"/>
  <c r="BH48" i="160" s="1"/>
  <c r="BK48" i="160" s="1"/>
  <c r="BN48" i="160" s="1"/>
  <c r="BQ48" i="160" s="1"/>
  <c r="BT48" i="160" s="1"/>
  <c r="BW48" i="160" s="1"/>
  <c r="BZ48" i="160" s="1"/>
  <c r="CC48" i="160" s="1"/>
  <c r="CF48" i="160" s="1"/>
  <c r="CI48" i="160" s="1"/>
  <c r="CL48" i="160" s="1"/>
  <c r="CO48" i="160" s="1"/>
  <c r="CR48" i="160" s="1"/>
  <c r="CU48" i="160" s="1"/>
  <c r="DB75" i="160"/>
  <c r="DE75" i="160" s="1"/>
  <c r="CX75" i="160"/>
  <c r="CZ75" i="160" s="1"/>
  <c r="CW25" i="160"/>
  <c r="CW48" i="160"/>
  <c r="CX82" i="160"/>
  <c r="CZ82" i="160" s="1"/>
  <c r="DB82" i="160"/>
  <c r="DE82" i="160" s="1"/>
  <c r="DB89" i="160"/>
  <c r="DE89" i="160" s="1"/>
  <c r="CX89" i="160"/>
  <c r="CZ89" i="160" s="1"/>
  <c r="CV60" i="160"/>
  <c r="DB92" i="160"/>
  <c r="DE92" i="160" s="1"/>
  <c r="CX92" i="160"/>
  <c r="CZ92" i="160" s="1"/>
  <c r="CW59" i="160"/>
  <c r="I59" i="160"/>
  <c r="L59" i="160" s="1"/>
  <c r="O59" i="160" s="1"/>
  <c r="R59" i="160" s="1"/>
  <c r="U59" i="160" s="1"/>
  <c r="X59" i="160" s="1"/>
  <c r="AA59" i="160" s="1"/>
  <c r="AD59" i="160" s="1"/>
  <c r="AG59" i="160" s="1"/>
  <c r="AJ59" i="160" s="1"/>
  <c r="AM59" i="160" s="1"/>
  <c r="AP59" i="160" s="1"/>
  <c r="AS59" i="160" s="1"/>
  <c r="AV59" i="160" s="1"/>
  <c r="AY59" i="160" s="1"/>
  <c r="BB59" i="160" s="1"/>
  <c r="BE59" i="160" s="1"/>
  <c r="BH59" i="160" s="1"/>
  <c r="BK59" i="160" s="1"/>
  <c r="BN59" i="160" s="1"/>
  <c r="BQ59" i="160" s="1"/>
  <c r="BT59" i="160" s="1"/>
  <c r="BW59" i="160" s="1"/>
  <c r="BZ59" i="160" s="1"/>
  <c r="CC59" i="160" s="1"/>
  <c r="CF59" i="160" s="1"/>
  <c r="CI59" i="160" s="1"/>
  <c r="CL59" i="160" s="1"/>
  <c r="CO59" i="160" s="1"/>
  <c r="CR59" i="160" s="1"/>
  <c r="CU59" i="160" s="1"/>
  <c r="CW63" i="160"/>
  <c r="DB76" i="160"/>
  <c r="DE76" i="160" s="1"/>
  <c r="CX76" i="160"/>
  <c r="CZ76" i="160" s="1"/>
  <c r="DB80" i="160"/>
  <c r="DE80" i="160" s="1"/>
  <c r="CX80" i="160"/>
  <c r="CZ80" i="160" s="1"/>
  <c r="CX87" i="160"/>
  <c r="CZ87" i="160" s="1"/>
  <c r="DB87" i="160"/>
  <c r="DE87" i="160" s="1"/>
  <c r="DB85" i="160"/>
  <c r="DE85" i="160" s="1"/>
  <c r="CX85" i="160"/>
  <c r="CZ85" i="160" s="1"/>
  <c r="DB93" i="160"/>
  <c r="DE93" i="160" s="1"/>
  <c r="CX93" i="160"/>
  <c r="CZ93" i="160" s="1"/>
  <c r="CX90" i="160"/>
  <c r="CZ90" i="160" s="1"/>
  <c r="DB90" i="160"/>
  <c r="DE90" i="160" s="1"/>
  <c r="DB91" i="160"/>
  <c r="DE91" i="160" s="1"/>
  <c r="CX91" i="160"/>
  <c r="CZ91" i="160" s="1"/>
  <c r="DB84" i="160"/>
  <c r="DE84" i="160" s="1"/>
  <c r="CX84" i="160"/>
  <c r="CZ84" i="160" s="1"/>
  <c r="DB88" i="160"/>
  <c r="DE88" i="160" s="1"/>
  <c r="CX88" i="160"/>
  <c r="CZ88" i="160" s="1"/>
  <c r="CX79" i="160"/>
  <c r="CZ79" i="160" s="1"/>
  <c r="DB79" i="160"/>
  <c r="DE79" i="160" s="1"/>
  <c r="DB81" i="160"/>
  <c r="DE81" i="160" s="1"/>
  <c r="CX81" i="160"/>
  <c r="CZ81" i="160" s="1"/>
  <c r="CX83" i="160"/>
  <c r="CZ83" i="160" s="1"/>
  <c r="DB83" i="160"/>
  <c r="DE83" i="160" s="1"/>
  <c r="DB86" i="160"/>
  <c r="DE86" i="160" s="1"/>
  <c r="CX86" i="160"/>
  <c r="CZ86" i="160" s="1"/>
  <c r="DB94" i="160"/>
  <c r="DE94" i="160" s="1"/>
  <c r="CX94" i="160"/>
  <c r="CZ94" i="160" s="1"/>
  <c r="BU53" i="159"/>
  <c r="CB14" i="159"/>
  <c r="BY43" i="159"/>
  <c r="CB43" i="159"/>
  <c r="CB27" i="159"/>
  <c r="CB25" i="159"/>
  <c r="CB40" i="159"/>
  <c r="CB77" i="159"/>
  <c r="CB72" i="159"/>
  <c r="CB58" i="159"/>
  <c r="CB48" i="159"/>
  <c r="CB22" i="159"/>
  <c r="BY19" i="159"/>
  <c r="BX77" i="159"/>
  <c r="CB13" i="159"/>
  <c r="BY22" i="159"/>
  <c r="BY72" i="159"/>
  <c r="BY27" i="159"/>
  <c r="BY40" i="159"/>
  <c r="BY13" i="159"/>
  <c r="BY58" i="159"/>
  <c r="BY48" i="159"/>
  <c r="BY60" i="159"/>
  <c r="BY77" i="159"/>
  <c r="BY15" i="159"/>
  <c r="BV17" i="159"/>
  <c r="BU60" i="159"/>
  <c r="BU39" i="159"/>
  <c r="BU29" i="159"/>
  <c r="BU17" i="159"/>
  <c r="BV63" i="159"/>
  <c r="BV59" i="159"/>
  <c r="BV29" i="159"/>
  <c r="BV39" i="159"/>
  <c r="BV12" i="159"/>
  <c r="BS13" i="159"/>
  <c r="BV60" i="159"/>
  <c r="BV25" i="159"/>
  <c r="BV23" i="159"/>
  <c r="BV14" i="159"/>
  <c r="BV22" i="159"/>
  <c r="BV27" i="159"/>
  <c r="BV40" i="159"/>
  <c r="BV15" i="159"/>
  <c r="BV18" i="159"/>
  <c r="BV77" i="159"/>
  <c r="BV48" i="159"/>
  <c r="BV43" i="159"/>
  <c r="BV16" i="159"/>
  <c r="BR76" i="159"/>
  <c r="BS36" i="159"/>
  <c r="BV13" i="159"/>
  <c r="BV71" i="159"/>
  <c r="BM84" i="159"/>
  <c r="AR82" i="159"/>
  <c r="BL19" i="159"/>
  <c r="BL18" i="159"/>
  <c r="BR67" i="159"/>
  <c r="BR36" i="159"/>
  <c r="BR29" i="159"/>
  <c r="CX12" i="160" l="1"/>
  <c r="CZ12" i="160" s="1"/>
  <c r="DB77" i="160"/>
  <c r="DE77" i="160" s="1"/>
  <c r="DB39" i="160"/>
  <c r="DE39" i="160" s="1"/>
  <c r="DB19" i="160"/>
  <c r="DE19" i="160" s="1"/>
  <c r="CX71" i="160"/>
  <c r="CZ71" i="160" s="1"/>
  <c r="DB24" i="160"/>
  <c r="DE24" i="160" s="1"/>
  <c r="CX40" i="160"/>
  <c r="CZ40" i="160" s="1"/>
  <c r="CX6" i="160"/>
  <c r="CZ6" i="160" s="1"/>
  <c r="CX15" i="160"/>
  <c r="CZ15" i="160" s="1"/>
  <c r="DB16" i="160"/>
  <c r="DE16" i="160" s="1"/>
  <c r="CX16" i="160"/>
  <c r="CZ16" i="160" s="1"/>
  <c r="DB60" i="160"/>
  <c r="DE60" i="160" s="1"/>
  <c r="CX60" i="160"/>
  <c r="CZ60" i="160" s="1"/>
  <c r="CX58" i="160"/>
  <c r="CZ58" i="160" s="1"/>
  <c r="DB58" i="160"/>
  <c r="DE58" i="160" s="1"/>
  <c r="CX25" i="160"/>
  <c r="CZ25" i="160" s="1"/>
  <c r="DB25" i="160"/>
  <c r="DE25" i="160" s="1"/>
  <c r="CX28" i="160"/>
  <c r="CZ28" i="160" s="1"/>
  <c r="DB28" i="160"/>
  <c r="DE28" i="160" s="1"/>
  <c r="CX13" i="160"/>
  <c r="CZ13" i="160" s="1"/>
  <c r="DB13" i="160"/>
  <c r="DE13" i="160" s="1"/>
  <c r="DB59" i="160"/>
  <c r="DE59" i="160" s="1"/>
  <c r="CX59" i="160"/>
  <c r="CZ59" i="160" s="1"/>
  <c r="DB72" i="160"/>
  <c r="DE72" i="160" s="1"/>
  <c r="CX72" i="160"/>
  <c r="CZ72" i="160" s="1"/>
  <c r="CX43" i="160"/>
  <c r="CZ43" i="160" s="1"/>
  <c r="DB43" i="160"/>
  <c r="DE43" i="160" s="1"/>
  <c r="CX22" i="160"/>
  <c r="CZ22" i="160" s="1"/>
  <c r="DB22" i="160"/>
  <c r="DE22" i="160" s="1"/>
  <c r="DB48" i="160"/>
  <c r="DE48" i="160" s="1"/>
  <c r="CX48" i="160"/>
  <c r="CZ48" i="160" s="1"/>
  <c r="CX23" i="160"/>
  <c r="CZ23" i="160" s="1"/>
  <c r="DB23" i="160"/>
  <c r="DE23" i="160" s="1"/>
  <c r="DB63" i="160"/>
  <c r="DE63" i="160" s="1"/>
  <c r="CX63" i="160"/>
  <c r="CZ63" i="160" s="1"/>
  <c r="CX36" i="160"/>
  <c r="CZ36" i="160" s="1"/>
  <c r="DB36" i="160"/>
  <c r="DE36" i="160" s="1"/>
  <c r="CX27" i="160"/>
  <c r="CZ27" i="160" s="1"/>
  <c r="DB27" i="160"/>
  <c r="DE27" i="160" s="1"/>
  <c r="CX14" i="160"/>
  <c r="CZ14" i="160" s="1"/>
  <c r="DB14" i="160"/>
  <c r="DE14" i="160" s="1"/>
  <c r="BS84" i="159"/>
  <c r="BS76" i="159"/>
  <c r="BS63" i="159"/>
  <c r="BS59" i="159"/>
  <c r="BS17" i="159"/>
  <c r="BS29" i="159"/>
  <c r="BM17" i="159"/>
  <c r="BM59" i="159"/>
  <c r="BM63" i="159"/>
  <c r="BM76" i="159"/>
  <c r="BS39" i="159"/>
  <c r="BS12" i="159"/>
  <c r="CZ95" i="160" l="1"/>
  <c r="CZ96" i="160" s="1"/>
  <c r="BL67" i="159"/>
  <c r="BS60" i="159"/>
  <c r="BS23" i="159"/>
  <c r="BS16" i="159"/>
  <c r="BS14" i="159"/>
  <c r="BL17" i="159"/>
  <c r="BS27" i="159"/>
  <c r="BS40" i="159"/>
  <c r="BS71" i="159"/>
  <c r="BS77" i="159"/>
  <c r="BM13" i="159"/>
  <c r="BS15" i="159"/>
  <c r="BS48" i="159"/>
  <c r="BS18" i="159"/>
  <c r="BS43" i="159"/>
  <c r="BL76" i="159"/>
  <c r="BL56" i="159"/>
  <c r="BL39" i="159"/>
  <c r="BL36" i="159"/>
  <c r="BL29" i="159"/>
  <c r="BL12" i="159"/>
  <c r="BM29" i="159" l="1"/>
  <c r="BM39" i="159"/>
  <c r="BM12" i="159"/>
  <c r="BS6" i="159" l="1"/>
  <c r="BM60" i="159"/>
  <c r="BM14" i="159"/>
  <c r="BS25" i="159"/>
  <c r="BS58" i="159"/>
  <c r="BS47" i="159"/>
  <c r="BM48" i="159"/>
  <c r="BJ6" i="159"/>
  <c r="BI17" i="159"/>
  <c r="BJ17" i="159"/>
  <c r="BI76" i="159"/>
  <c r="BI67" i="159"/>
  <c r="BI36" i="159"/>
  <c r="BI29" i="159"/>
  <c r="BJ29" i="159" l="1"/>
  <c r="BG28" i="159"/>
  <c r="BJ83" i="159"/>
  <c r="BJ76" i="159"/>
  <c r="BJ63" i="159"/>
  <c r="BJ59" i="159"/>
  <c r="BJ39" i="159"/>
  <c r="BJ14" i="159"/>
  <c r="BF15" i="159"/>
  <c r="BM40" i="159"/>
  <c r="BM15" i="159"/>
  <c r="BJ25" i="159"/>
  <c r="BJ16" i="159"/>
  <c r="BJ22" i="159"/>
  <c r="BJ58" i="159"/>
  <c r="BJ40" i="159"/>
  <c r="BJ27" i="159"/>
  <c r="BJ18" i="159"/>
  <c r="BJ78" i="159"/>
  <c r="BJ77" i="159"/>
  <c r="BJ15" i="159"/>
  <c r="BJ48" i="159"/>
  <c r="BF36" i="159"/>
  <c r="BF76" i="159"/>
  <c r="BG76" i="159"/>
  <c r="BF67" i="159"/>
  <c r="BF60" i="159"/>
  <c r="BF56" i="159"/>
  <c r="BF39" i="159"/>
  <c r="BF29" i="159"/>
  <c r="BF12" i="159"/>
  <c r="BG63" i="159" l="1"/>
  <c r="BG59" i="159"/>
  <c r="BG29" i="159"/>
  <c r="BG39" i="159"/>
  <c r="BG60" i="159"/>
  <c r="BD60" i="159"/>
  <c r="BG48" i="159"/>
  <c r="BG27" i="159"/>
  <c r="BG14" i="159"/>
  <c r="BG40" i="159"/>
  <c r="BG6" i="159"/>
  <c r="BG77" i="159"/>
  <c r="BG58" i="159"/>
  <c r="BG43" i="159"/>
  <c r="BG18" i="159"/>
  <c r="BG15" i="159"/>
  <c r="BG25" i="159"/>
  <c r="BG22" i="159"/>
  <c r="BD72" i="159"/>
  <c r="BD25" i="159"/>
  <c r="BD43" i="159"/>
  <c r="BD29" i="159"/>
  <c r="BD18" i="159"/>
  <c r="BD16" i="159"/>
  <c r="BD77" i="159"/>
  <c r="BD40" i="159"/>
  <c r="BD27" i="159"/>
  <c r="BD23" i="159"/>
  <c r="BD22" i="159"/>
  <c r="BD15" i="159"/>
  <c r="BD14" i="159"/>
  <c r="BD13" i="159"/>
  <c r="AZ76" i="159"/>
  <c r="AZ60" i="159"/>
  <c r="AZ39" i="159"/>
  <c r="AZ29" i="159"/>
  <c r="AZ17" i="159"/>
  <c r="BA84" i="159"/>
  <c r="BA76" i="159"/>
  <c r="BA63" i="159"/>
  <c r="BA59" i="159"/>
  <c r="BA17" i="159"/>
  <c r="BA29" i="159"/>
  <c r="BA39" i="159"/>
  <c r="BA12" i="159"/>
  <c r="BA15" i="159"/>
  <c r="AW67" i="159"/>
  <c r="BA14" i="159"/>
  <c r="BA60" i="159"/>
  <c r="BA16" i="159"/>
  <c r="BA40" i="159"/>
  <c r="BA27" i="159"/>
  <c r="BA13" i="159"/>
  <c r="BA43" i="159"/>
  <c r="BA71" i="159"/>
  <c r="BA58" i="159"/>
  <c r="AX39" i="159"/>
  <c r="AX27" i="159"/>
  <c r="AX60" i="159"/>
  <c r="AX25" i="159"/>
  <c r="AX15" i="159"/>
  <c r="AX14" i="159"/>
  <c r="AX6" i="159"/>
  <c r="BA25" i="159"/>
  <c r="BA48" i="159"/>
  <c r="BA22" i="159"/>
  <c r="AW76" i="159"/>
  <c r="AW29" i="159"/>
  <c r="AW17" i="159"/>
  <c r="AX84" i="159"/>
  <c r="AX76" i="159"/>
  <c r="AX63" i="159"/>
  <c r="AX59" i="159"/>
  <c r="AX17" i="159"/>
  <c r="AX29" i="159"/>
  <c r="AX12" i="159"/>
  <c r="AX16" i="159"/>
  <c r="AX40" i="159"/>
  <c r="AX22" i="159"/>
  <c r="AX77" i="159"/>
  <c r="AX43" i="159"/>
  <c r="AX19" i="159"/>
  <c r="AX13" i="159"/>
  <c r="AX72" i="159"/>
  <c r="AX58" i="159"/>
  <c r="AX18" i="159"/>
  <c r="AQ76" i="159"/>
  <c r="AQ67" i="159"/>
  <c r="AQ39" i="159"/>
  <c r="AQ36" i="159"/>
  <c r="AQ29" i="159"/>
  <c r="AQ17" i="159"/>
  <c r="AQ12" i="159"/>
  <c r="AR84" i="159"/>
  <c r="AR76" i="159"/>
  <c r="AR63" i="159"/>
  <c r="AR59" i="159"/>
  <c r="AR17" i="159"/>
  <c r="AR29" i="159"/>
  <c r="AR39" i="159"/>
  <c r="AR12" i="159"/>
  <c r="AR15" i="159"/>
  <c r="AR16" i="159" l="1"/>
  <c r="AR77" i="159"/>
  <c r="AR58" i="159"/>
  <c r="AR40" i="159"/>
  <c r="AR27" i="159"/>
  <c r="AO16" i="159"/>
  <c r="AN76" i="159"/>
  <c r="AN56" i="159"/>
  <c r="AN36" i="159"/>
  <c r="AN29" i="159"/>
  <c r="AN17" i="159"/>
  <c r="AN12" i="159"/>
  <c r="AO83" i="159" l="1"/>
  <c r="AO76" i="159"/>
  <c r="AO63" i="159"/>
  <c r="AO59" i="159"/>
  <c r="AO17" i="159"/>
  <c r="AO29" i="159"/>
  <c r="AO39" i="159"/>
  <c r="AO12" i="159"/>
  <c r="N40" i="159"/>
  <c r="H40" i="159"/>
  <c r="AO60" i="159"/>
  <c r="AO25" i="159"/>
  <c r="AO23" i="159"/>
  <c r="AO14" i="159"/>
  <c r="AL29" i="159"/>
  <c r="T80" i="159"/>
  <c r="AO43" i="159"/>
  <c r="AL16" i="159"/>
  <c r="AO40" i="159"/>
  <c r="AO27" i="159"/>
  <c r="AO22" i="159"/>
  <c r="AO77" i="159"/>
  <c r="AO79" i="159"/>
  <c r="AO58" i="159"/>
  <c r="AO18" i="159"/>
  <c r="AO15" i="159"/>
  <c r="AO48" i="159"/>
  <c r="AO13" i="159"/>
  <c r="AO6" i="159"/>
  <c r="AK72" i="159"/>
  <c r="AK67" i="159"/>
  <c r="AK36" i="159"/>
  <c r="AK29" i="159"/>
  <c r="AK17" i="159"/>
  <c r="AK12" i="159"/>
  <c r="AL76" i="159"/>
  <c r="AL59" i="159"/>
  <c r="AL39" i="159"/>
  <c r="AL36" i="159"/>
  <c r="AL23" i="159"/>
  <c r="AL48" i="159"/>
  <c r="AL13" i="159"/>
  <c r="AL43" i="159"/>
  <c r="AL40" i="159"/>
  <c r="AL25" i="159"/>
  <c r="AL60" i="159"/>
  <c r="AL27" i="159"/>
  <c r="AL77" i="159"/>
  <c r="AL15" i="159"/>
  <c r="AL72" i="159"/>
  <c r="AE72" i="159"/>
  <c r="AL18" i="159"/>
  <c r="AH77" i="159"/>
  <c r="AL22" i="159"/>
  <c r="AL6" i="159"/>
  <c r="AI72" i="159"/>
  <c r="AL14" i="159"/>
  <c r="AI40" i="159"/>
  <c r="AI27" i="159"/>
  <c r="AI22" i="159"/>
  <c r="AI19" i="159"/>
  <c r="AI60" i="159"/>
  <c r="AI14" i="159"/>
  <c r="AI13" i="159"/>
  <c r="AI71" i="159"/>
  <c r="AI25" i="159"/>
  <c r="AI18" i="159"/>
  <c r="AI16" i="159"/>
  <c r="AI48" i="159"/>
  <c r="AF77" i="159"/>
  <c r="AF71" i="159"/>
  <c r="AF40" i="159"/>
  <c r="AF27" i="159"/>
  <c r="AF25" i="159"/>
  <c r="AF15" i="159"/>
  <c r="AE76" i="159"/>
  <c r="AE39" i="159"/>
  <c r="AE36" i="159"/>
  <c r="AE29" i="159"/>
  <c r="AF84" i="159"/>
  <c r="AF59" i="159"/>
  <c r="AF29" i="159"/>
  <c r="AF39" i="159"/>
  <c r="AF12" i="159"/>
  <c r="AF60" i="159"/>
  <c r="AF23" i="159"/>
  <c r="AF14" i="159"/>
  <c r="AB17" i="159"/>
  <c r="AF22" i="159"/>
  <c r="AF16" i="159"/>
  <c r="AF58" i="159"/>
  <c r="AF6" i="159"/>
  <c r="AC58" i="159"/>
  <c r="AF48" i="159"/>
  <c r="AF24" i="159"/>
  <c r="AF18" i="159"/>
  <c r="AF13" i="159"/>
  <c r="AB63" i="159"/>
  <c r="AC59" i="159"/>
  <c r="AC63" i="159"/>
  <c r="AC17" i="159"/>
  <c r="AB76" i="159"/>
  <c r="AB67" i="159"/>
  <c r="AB39" i="159"/>
  <c r="AB36" i="159"/>
  <c r="AB29" i="159"/>
  <c r="AC29" i="159"/>
  <c r="AC84" i="159" l="1"/>
  <c r="AC76" i="159"/>
  <c r="AC39" i="159"/>
  <c r="AC12" i="159"/>
  <c r="AC60" i="159" l="1"/>
  <c r="AC36" i="159"/>
  <c r="AC23" i="159"/>
  <c r="AC14" i="159"/>
  <c r="AC27" i="159"/>
  <c r="AC40" i="159"/>
  <c r="AC71" i="159"/>
  <c r="AC77" i="159"/>
  <c r="AC25" i="159"/>
  <c r="AC16" i="159"/>
  <c r="AC43" i="159"/>
  <c r="AC15" i="159"/>
  <c r="AC13" i="159"/>
  <c r="AC6" i="159"/>
  <c r="AC18" i="159"/>
  <c r="V76" i="159"/>
  <c r="V67" i="159"/>
  <c r="V36" i="159"/>
  <c r="V29" i="159"/>
  <c r="V17" i="159"/>
  <c r="V12" i="159"/>
  <c r="W84" i="159" l="1"/>
  <c r="W76" i="159"/>
  <c r="W63" i="159"/>
  <c r="W59" i="159"/>
  <c r="W17" i="159"/>
  <c r="W29" i="159"/>
  <c r="W39" i="159"/>
  <c r="W12" i="159"/>
  <c r="W60" i="159"/>
  <c r="W14" i="159"/>
  <c r="W40" i="159"/>
  <c r="W48" i="159"/>
  <c r="W15" i="159"/>
  <c r="W25" i="159"/>
  <c r="W27" i="159"/>
  <c r="W77" i="159"/>
  <c r="W13" i="159"/>
  <c r="S79" i="159"/>
  <c r="T77" i="159"/>
  <c r="S56" i="159"/>
  <c r="S76" i="159" l="1"/>
  <c r="S29" i="159"/>
  <c r="S17" i="159"/>
  <c r="T39" i="159"/>
  <c r="T84" i="159"/>
  <c r="T76" i="159"/>
  <c r="T63" i="159"/>
  <c r="T59" i="159"/>
  <c r="T17" i="159"/>
  <c r="T29" i="159"/>
  <c r="T12" i="159"/>
  <c r="T60" i="159" l="1"/>
  <c r="T23" i="159"/>
  <c r="T14" i="159"/>
  <c r="T67" i="159"/>
  <c r="T43" i="159"/>
  <c r="T19" i="159"/>
  <c r="T79" i="159"/>
  <c r="T40" i="159"/>
  <c r="T27" i="159"/>
  <c r="T16" i="159"/>
  <c r="T48" i="159"/>
  <c r="T18" i="159"/>
  <c r="T25" i="159"/>
  <c r="T15" i="159"/>
  <c r="Q12" i="159"/>
  <c r="P76" i="159"/>
  <c r="P67" i="159"/>
  <c r="P29" i="159"/>
  <c r="Q84" i="159"/>
  <c r="Q76" i="159"/>
  <c r="Q63" i="159"/>
  <c r="Q59" i="159"/>
  <c r="Q17" i="159"/>
  <c r="Q29" i="159"/>
  <c r="Q39" i="159"/>
  <c r="Q15" i="159"/>
  <c r="Q67" i="159"/>
  <c r="Q60" i="159"/>
  <c r="Q16" i="159"/>
  <c r="Q14" i="159"/>
  <c r="J72" i="159"/>
  <c r="Q48" i="159"/>
  <c r="Q27" i="159"/>
  <c r="Q6" i="159"/>
  <c r="Q40" i="159"/>
  <c r="Q77" i="159"/>
  <c r="J18" i="159"/>
  <c r="Q18" i="159"/>
  <c r="Q25" i="159"/>
  <c r="Q22" i="159"/>
  <c r="Q13" i="159"/>
  <c r="M77" i="159"/>
  <c r="N39" i="159"/>
  <c r="N43" i="159"/>
  <c r="N29" i="159"/>
  <c r="N45" i="159"/>
  <c r="N18" i="159"/>
  <c r="N6" i="159"/>
  <c r="N60" i="159"/>
  <c r="N27" i="159"/>
  <c r="N23" i="159"/>
  <c r="N22" i="159"/>
  <c r="N15" i="159"/>
  <c r="N16" i="159"/>
  <c r="N25" i="159"/>
  <c r="N14" i="159"/>
  <c r="K71" i="159"/>
  <c r="K48" i="159"/>
  <c r="K27" i="159"/>
  <c r="K14" i="159"/>
  <c r="J76" i="159"/>
  <c r="J60" i="159"/>
  <c r="J39" i="159"/>
  <c r="J36" i="159"/>
  <c r="J29" i="159"/>
  <c r="J24" i="159"/>
  <c r="J17" i="159"/>
  <c r="K84" i="159" l="1"/>
  <c r="K83" i="159"/>
  <c r="K76" i="159"/>
  <c r="K63" i="159"/>
  <c r="K59" i="159"/>
  <c r="K17" i="159"/>
  <c r="K29" i="159"/>
  <c r="K39" i="159"/>
  <c r="K12" i="159"/>
  <c r="G60" i="159"/>
  <c r="K60" i="159"/>
  <c r="G36" i="159"/>
  <c r="H23" i="159"/>
  <c r="K40" i="159"/>
  <c r="K15" i="159"/>
  <c r="K77" i="159"/>
  <c r="K13" i="159"/>
  <c r="K58" i="159"/>
  <c r="K72" i="159"/>
  <c r="K43" i="159"/>
  <c r="K25" i="159"/>
  <c r="K18" i="159"/>
  <c r="K6" i="159"/>
  <c r="G23" i="159"/>
  <c r="G17" i="159"/>
  <c r="G77" i="159" l="1"/>
  <c r="CV77" i="159" s="1"/>
  <c r="G76" i="159"/>
  <c r="CV76" i="159" s="1"/>
  <c r="G39" i="159"/>
  <c r="G29" i="159"/>
  <c r="H63" i="159"/>
  <c r="CW63" i="159" s="1"/>
  <c r="H59" i="159"/>
  <c r="I59" i="159" s="1"/>
  <c r="L59" i="159" s="1"/>
  <c r="O59" i="159" s="1"/>
  <c r="R59" i="159" s="1"/>
  <c r="U59" i="159" s="1"/>
  <c r="X59" i="159" s="1"/>
  <c r="AA59" i="159" s="1"/>
  <c r="AD59" i="159" s="1"/>
  <c r="AG59" i="159" s="1"/>
  <c r="AJ59" i="159" s="1"/>
  <c r="AM59" i="159" s="1"/>
  <c r="AP59" i="159" s="1"/>
  <c r="AS59" i="159" s="1"/>
  <c r="AV59" i="159" s="1"/>
  <c r="AY59" i="159" s="1"/>
  <c r="BB59" i="159" s="1"/>
  <c r="BE59" i="159" s="1"/>
  <c r="BH59" i="159" s="1"/>
  <c r="BK59" i="159" s="1"/>
  <c r="BN59" i="159" s="1"/>
  <c r="BQ59" i="159" s="1"/>
  <c r="BT59" i="159" s="1"/>
  <c r="BW59" i="159" s="1"/>
  <c r="BZ59" i="159" s="1"/>
  <c r="CC59" i="159" s="1"/>
  <c r="CF59" i="159" s="1"/>
  <c r="CI59" i="159" s="1"/>
  <c r="CL59" i="159" s="1"/>
  <c r="CO59" i="159" s="1"/>
  <c r="CR59" i="159" s="1"/>
  <c r="CU59" i="159" s="1"/>
  <c r="H17" i="159"/>
  <c r="CW17" i="159" s="1"/>
  <c r="H29" i="159"/>
  <c r="CW29" i="159" s="1"/>
  <c r="H12" i="159"/>
  <c r="I12" i="159" s="1"/>
  <c r="L12" i="159" s="1"/>
  <c r="O12" i="159" s="1"/>
  <c r="R12" i="159" s="1"/>
  <c r="U12" i="159" s="1"/>
  <c r="X12" i="159" s="1"/>
  <c r="AA12" i="159" s="1"/>
  <c r="AD12" i="159" s="1"/>
  <c r="AG12" i="159" s="1"/>
  <c r="AJ12" i="159" s="1"/>
  <c r="AM12" i="159" s="1"/>
  <c r="AP12" i="159" s="1"/>
  <c r="AS12" i="159" s="1"/>
  <c r="AV12" i="159" s="1"/>
  <c r="AY12" i="159" s="1"/>
  <c r="BB12" i="159" s="1"/>
  <c r="BE12" i="159" s="1"/>
  <c r="BH12" i="159" s="1"/>
  <c r="BK12" i="159" s="1"/>
  <c r="BN12" i="159" s="1"/>
  <c r="BQ12" i="159" s="1"/>
  <c r="BT12" i="159" s="1"/>
  <c r="BW12" i="159" s="1"/>
  <c r="BZ12" i="159" s="1"/>
  <c r="CC12" i="159" s="1"/>
  <c r="CF12" i="159" s="1"/>
  <c r="CI12" i="159" s="1"/>
  <c r="CL12" i="159" s="1"/>
  <c r="CO12" i="159" s="1"/>
  <c r="CR12" i="159" s="1"/>
  <c r="CU12" i="159" s="1"/>
  <c r="H15" i="159"/>
  <c r="CW15" i="159" s="1"/>
  <c r="CV67" i="159"/>
  <c r="CV60" i="159"/>
  <c r="CV23" i="159"/>
  <c r="H36" i="159"/>
  <c r="I36" i="159" s="1"/>
  <c r="H39" i="159"/>
  <c r="CW39" i="159" s="1"/>
  <c r="H28" i="159"/>
  <c r="I28" i="159" s="1"/>
  <c r="L28" i="159" s="1"/>
  <c r="O28" i="159" s="1"/>
  <c r="R28" i="159" s="1"/>
  <c r="U28" i="159" s="1"/>
  <c r="X28" i="159" s="1"/>
  <c r="AA28" i="159" s="1"/>
  <c r="AD28" i="159" s="1"/>
  <c r="AG28" i="159" s="1"/>
  <c r="AJ28" i="159" s="1"/>
  <c r="AM28" i="159" s="1"/>
  <c r="AP28" i="159" s="1"/>
  <c r="AS28" i="159" s="1"/>
  <c r="AV28" i="159" s="1"/>
  <c r="AY28" i="159" s="1"/>
  <c r="BB28" i="159" s="1"/>
  <c r="BE28" i="159" s="1"/>
  <c r="BH28" i="159" s="1"/>
  <c r="BK28" i="159" s="1"/>
  <c r="BN28" i="159" s="1"/>
  <c r="BQ28" i="159" s="1"/>
  <c r="BT28" i="159" s="1"/>
  <c r="BW28" i="159" s="1"/>
  <c r="BZ28" i="159" s="1"/>
  <c r="CC28" i="159" s="1"/>
  <c r="CF28" i="159" s="1"/>
  <c r="CI28" i="159" s="1"/>
  <c r="CL28" i="159" s="1"/>
  <c r="CO28" i="159" s="1"/>
  <c r="CR28" i="159" s="1"/>
  <c r="CU28" i="159" s="1"/>
  <c r="I23" i="159"/>
  <c r="L23" i="159" s="1"/>
  <c r="O23" i="159" s="1"/>
  <c r="R23" i="159" s="1"/>
  <c r="U23" i="159" s="1"/>
  <c r="X23" i="159" s="1"/>
  <c r="AA23" i="159" s="1"/>
  <c r="AD23" i="159" s="1"/>
  <c r="AG23" i="159" s="1"/>
  <c r="AJ23" i="159" s="1"/>
  <c r="AM23" i="159" s="1"/>
  <c r="AP23" i="159" s="1"/>
  <c r="AS23" i="159" s="1"/>
  <c r="AV23" i="159" s="1"/>
  <c r="AY23" i="159" s="1"/>
  <c r="BB23" i="159" s="1"/>
  <c r="BE23" i="159" s="1"/>
  <c r="BH23" i="159" s="1"/>
  <c r="BK23" i="159" s="1"/>
  <c r="BN23" i="159" s="1"/>
  <c r="BQ23" i="159" s="1"/>
  <c r="BT23" i="159" s="1"/>
  <c r="BW23" i="159" s="1"/>
  <c r="BZ23" i="159" s="1"/>
  <c r="CC23" i="159" s="1"/>
  <c r="CF23" i="159" s="1"/>
  <c r="CI23" i="159" s="1"/>
  <c r="CL23" i="159" s="1"/>
  <c r="CO23" i="159" s="1"/>
  <c r="CR23" i="159" s="1"/>
  <c r="CU23" i="159" s="1"/>
  <c r="H14" i="159"/>
  <c r="CW14" i="159" s="1"/>
  <c r="I40" i="159"/>
  <c r="L40" i="159" s="1"/>
  <c r="O40" i="159" s="1"/>
  <c r="H22" i="159"/>
  <c r="I22" i="159" s="1"/>
  <c r="L22" i="159" s="1"/>
  <c r="O22" i="159" s="1"/>
  <c r="R22" i="159" s="1"/>
  <c r="U22" i="159" s="1"/>
  <c r="X22" i="159" s="1"/>
  <c r="AA22" i="159" s="1"/>
  <c r="AD22" i="159" s="1"/>
  <c r="AG22" i="159" s="1"/>
  <c r="AJ22" i="159" s="1"/>
  <c r="AM22" i="159" s="1"/>
  <c r="AP22" i="159" s="1"/>
  <c r="AS22" i="159" s="1"/>
  <c r="AV22" i="159" s="1"/>
  <c r="AY22" i="159" s="1"/>
  <c r="BB22" i="159" s="1"/>
  <c r="BE22" i="159" s="1"/>
  <c r="BH22" i="159" s="1"/>
  <c r="BK22" i="159" s="1"/>
  <c r="BN22" i="159" s="1"/>
  <c r="BQ22" i="159" s="1"/>
  <c r="BT22" i="159" s="1"/>
  <c r="BW22" i="159" s="1"/>
  <c r="BZ22" i="159" s="1"/>
  <c r="CC22" i="159" s="1"/>
  <c r="CF22" i="159" s="1"/>
  <c r="CI22" i="159" s="1"/>
  <c r="CL22" i="159" s="1"/>
  <c r="CO22" i="159" s="1"/>
  <c r="CR22" i="159" s="1"/>
  <c r="CU22" i="159" s="1"/>
  <c r="CN77" i="158"/>
  <c r="H77" i="159"/>
  <c r="CW77" i="159" s="1"/>
  <c r="H27" i="159"/>
  <c r="CW27" i="159" s="1"/>
  <c r="H6" i="159"/>
  <c r="CW6" i="159" s="1"/>
  <c r="H25" i="159"/>
  <c r="I25" i="159" s="1"/>
  <c r="L25" i="159" s="1"/>
  <c r="O25" i="159" s="1"/>
  <c r="R25" i="159" s="1"/>
  <c r="U25" i="159" s="1"/>
  <c r="X25" i="159" s="1"/>
  <c r="AA25" i="159" s="1"/>
  <c r="AD25" i="159" s="1"/>
  <c r="AG25" i="159" s="1"/>
  <c r="AJ25" i="159" s="1"/>
  <c r="AM25" i="159" s="1"/>
  <c r="AP25" i="159" s="1"/>
  <c r="AS25" i="159" s="1"/>
  <c r="AV25" i="159" s="1"/>
  <c r="AY25" i="159" s="1"/>
  <c r="BB25" i="159" s="1"/>
  <c r="BE25" i="159" s="1"/>
  <c r="BH25" i="159" s="1"/>
  <c r="BK25" i="159" s="1"/>
  <c r="BN25" i="159" s="1"/>
  <c r="BQ25" i="159" s="1"/>
  <c r="BT25" i="159" s="1"/>
  <c r="BW25" i="159" s="1"/>
  <c r="BZ25" i="159" s="1"/>
  <c r="CC25" i="159" s="1"/>
  <c r="CF25" i="159" s="1"/>
  <c r="CI25" i="159" s="1"/>
  <c r="CL25" i="159" s="1"/>
  <c r="CO25" i="159" s="1"/>
  <c r="CR25" i="159" s="1"/>
  <c r="CU25" i="159" s="1"/>
  <c r="H13" i="159"/>
  <c r="I13" i="159" s="1"/>
  <c r="L13" i="159" s="1"/>
  <c r="O13" i="159" s="1"/>
  <c r="R13" i="159" s="1"/>
  <c r="U13" i="159" s="1"/>
  <c r="X13" i="159" s="1"/>
  <c r="AA13" i="159" s="1"/>
  <c r="AD13" i="159" s="1"/>
  <c r="AG13" i="159" s="1"/>
  <c r="AJ13" i="159" s="1"/>
  <c r="AM13" i="159" s="1"/>
  <c r="AP13" i="159" s="1"/>
  <c r="AS13" i="159" s="1"/>
  <c r="AV13" i="159" s="1"/>
  <c r="AY13" i="159" s="1"/>
  <c r="BB13" i="159" s="1"/>
  <c r="BE13" i="159" s="1"/>
  <c r="BH13" i="159" s="1"/>
  <c r="BK13" i="159" s="1"/>
  <c r="BN13" i="159" s="1"/>
  <c r="BQ13" i="159" s="1"/>
  <c r="BT13" i="159" s="1"/>
  <c r="BW13" i="159" s="1"/>
  <c r="BZ13" i="159" s="1"/>
  <c r="CC13" i="159" s="1"/>
  <c r="CF13" i="159" s="1"/>
  <c r="CI13" i="159" s="1"/>
  <c r="CL13" i="159" s="1"/>
  <c r="CO13" i="159" s="1"/>
  <c r="CR13" i="159" s="1"/>
  <c r="CU13" i="159" s="1"/>
  <c r="H45" i="159"/>
  <c r="I45" i="159" s="1"/>
  <c r="L45" i="159" s="1"/>
  <c r="O45" i="159" s="1"/>
  <c r="R45" i="159" s="1"/>
  <c r="U45" i="159" s="1"/>
  <c r="X45" i="159" s="1"/>
  <c r="AA45" i="159" s="1"/>
  <c r="AD45" i="159" s="1"/>
  <c r="AG45" i="159" s="1"/>
  <c r="AJ45" i="159" s="1"/>
  <c r="AM45" i="159" s="1"/>
  <c r="AP45" i="159" s="1"/>
  <c r="AS45" i="159" s="1"/>
  <c r="AV45" i="159" s="1"/>
  <c r="AY45" i="159" s="1"/>
  <c r="BB45" i="159" s="1"/>
  <c r="BE45" i="159" s="1"/>
  <c r="BH45" i="159" s="1"/>
  <c r="BK45" i="159" s="1"/>
  <c r="BN45" i="159" s="1"/>
  <c r="BQ45" i="159" s="1"/>
  <c r="BT45" i="159" s="1"/>
  <c r="BW45" i="159" s="1"/>
  <c r="BZ45" i="159" s="1"/>
  <c r="CC45" i="159" s="1"/>
  <c r="CF45" i="159" s="1"/>
  <c r="CI45" i="159" s="1"/>
  <c r="CL45" i="159" s="1"/>
  <c r="CO45" i="159" s="1"/>
  <c r="CR45" i="159" s="1"/>
  <c r="CU45" i="159" s="1"/>
  <c r="H16" i="159"/>
  <c r="CN63" i="158"/>
  <c r="CN17" i="158"/>
  <c r="H75" i="159"/>
  <c r="I75" i="159" s="1"/>
  <c r="CM75" i="158"/>
  <c r="CM60" i="158"/>
  <c r="CM39" i="158"/>
  <c r="CM36" i="158"/>
  <c r="CM29" i="158"/>
  <c r="CM17" i="158"/>
  <c r="CV36" i="159"/>
  <c r="CV75" i="159"/>
  <c r="CV17" i="159"/>
  <c r="CN84" i="158"/>
  <c r="CN76" i="158"/>
  <c r="CN59" i="158"/>
  <c r="CN29" i="158"/>
  <c r="CN39" i="158"/>
  <c r="CN12" i="158"/>
  <c r="CN15" i="158"/>
  <c r="CN60" i="158"/>
  <c r="CN16" i="158"/>
  <c r="CN14" i="158"/>
  <c r="H18" i="159"/>
  <c r="CW18" i="159" s="1"/>
  <c r="CN48" i="158"/>
  <c r="CN40" i="158"/>
  <c r="CN13" i="158"/>
  <c r="CJ29" i="158"/>
  <c r="CW94" i="159"/>
  <c r="CV94" i="159"/>
  <c r="I94" i="159"/>
  <c r="L94" i="159" s="1"/>
  <c r="O94" i="159" s="1"/>
  <c r="R94" i="159" s="1"/>
  <c r="U94" i="159" s="1"/>
  <c r="X94" i="159" s="1"/>
  <c r="AA94" i="159" s="1"/>
  <c r="AD94" i="159" s="1"/>
  <c r="AG94" i="159" s="1"/>
  <c r="AJ94" i="159" s="1"/>
  <c r="AM94" i="159" s="1"/>
  <c r="AP94" i="159" s="1"/>
  <c r="AS94" i="159" s="1"/>
  <c r="AV94" i="159" s="1"/>
  <c r="AY94" i="159" s="1"/>
  <c r="BB94" i="159" s="1"/>
  <c r="BE94" i="159" s="1"/>
  <c r="BH94" i="159" s="1"/>
  <c r="BK94" i="159" s="1"/>
  <c r="BN94" i="159" s="1"/>
  <c r="BQ94" i="159" s="1"/>
  <c r="BT94" i="159" s="1"/>
  <c r="BW94" i="159" s="1"/>
  <c r="BZ94" i="159" s="1"/>
  <c r="CC94" i="159" s="1"/>
  <c r="CF94" i="159" s="1"/>
  <c r="CI94" i="159" s="1"/>
  <c r="CL94" i="159" s="1"/>
  <c r="CO94" i="159" s="1"/>
  <c r="CR94" i="159" s="1"/>
  <c r="CU94" i="159" s="1"/>
  <c r="CW93" i="159"/>
  <c r="CV93" i="159"/>
  <c r="I93" i="159"/>
  <c r="L93" i="159" s="1"/>
  <c r="O93" i="159" s="1"/>
  <c r="R93" i="159" s="1"/>
  <c r="U93" i="159" s="1"/>
  <c r="X93" i="159" s="1"/>
  <c r="AA93" i="159" s="1"/>
  <c r="AD93" i="159" s="1"/>
  <c r="AG93" i="159" s="1"/>
  <c r="AJ93" i="159" s="1"/>
  <c r="AM93" i="159" s="1"/>
  <c r="AP93" i="159" s="1"/>
  <c r="AS93" i="159" s="1"/>
  <c r="AV93" i="159" s="1"/>
  <c r="AY93" i="159" s="1"/>
  <c r="BB93" i="159" s="1"/>
  <c r="BE93" i="159" s="1"/>
  <c r="BH93" i="159" s="1"/>
  <c r="BK93" i="159" s="1"/>
  <c r="BN93" i="159" s="1"/>
  <c r="BQ93" i="159" s="1"/>
  <c r="BT93" i="159" s="1"/>
  <c r="BW93" i="159" s="1"/>
  <c r="BZ93" i="159" s="1"/>
  <c r="CC93" i="159" s="1"/>
  <c r="CF93" i="159" s="1"/>
  <c r="CI93" i="159" s="1"/>
  <c r="CL93" i="159" s="1"/>
  <c r="CO93" i="159" s="1"/>
  <c r="CR93" i="159" s="1"/>
  <c r="CU93" i="159" s="1"/>
  <c r="CW92" i="159"/>
  <c r="CV92" i="159"/>
  <c r="I92" i="159"/>
  <c r="L92" i="159" s="1"/>
  <c r="O92" i="159" s="1"/>
  <c r="R92" i="159" s="1"/>
  <c r="U92" i="159" s="1"/>
  <c r="X92" i="159" s="1"/>
  <c r="AA92" i="159" s="1"/>
  <c r="AD92" i="159" s="1"/>
  <c r="AG92" i="159" s="1"/>
  <c r="AJ92" i="159" s="1"/>
  <c r="AM92" i="159" s="1"/>
  <c r="AP92" i="159" s="1"/>
  <c r="AS92" i="159" s="1"/>
  <c r="AV92" i="159" s="1"/>
  <c r="AY92" i="159" s="1"/>
  <c r="BB92" i="159" s="1"/>
  <c r="BE92" i="159" s="1"/>
  <c r="BH92" i="159" s="1"/>
  <c r="BK92" i="159" s="1"/>
  <c r="BN92" i="159" s="1"/>
  <c r="BQ92" i="159" s="1"/>
  <c r="BT92" i="159" s="1"/>
  <c r="BW92" i="159" s="1"/>
  <c r="BZ92" i="159" s="1"/>
  <c r="CC92" i="159" s="1"/>
  <c r="CF92" i="159" s="1"/>
  <c r="CI92" i="159" s="1"/>
  <c r="CL92" i="159" s="1"/>
  <c r="CO92" i="159" s="1"/>
  <c r="CR92" i="159" s="1"/>
  <c r="CU92" i="159" s="1"/>
  <c r="CW91" i="159"/>
  <c r="CV91" i="159"/>
  <c r="I91" i="159"/>
  <c r="L91" i="159" s="1"/>
  <c r="O91" i="159" s="1"/>
  <c r="R91" i="159" s="1"/>
  <c r="U91" i="159" s="1"/>
  <c r="X91" i="159" s="1"/>
  <c r="AA91" i="159" s="1"/>
  <c r="AD91" i="159" s="1"/>
  <c r="AG91" i="159" s="1"/>
  <c r="AJ91" i="159" s="1"/>
  <c r="AM91" i="159" s="1"/>
  <c r="AP91" i="159" s="1"/>
  <c r="AS91" i="159" s="1"/>
  <c r="AV91" i="159" s="1"/>
  <c r="AY91" i="159" s="1"/>
  <c r="BB91" i="159" s="1"/>
  <c r="BE91" i="159" s="1"/>
  <c r="BH91" i="159" s="1"/>
  <c r="BK91" i="159" s="1"/>
  <c r="BN91" i="159" s="1"/>
  <c r="BQ91" i="159" s="1"/>
  <c r="BT91" i="159" s="1"/>
  <c r="BW91" i="159" s="1"/>
  <c r="BZ91" i="159" s="1"/>
  <c r="CC91" i="159" s="1"/>
  <c r="CF91" i="159" s="1"/>
  <c r="CI91" i="159" s="1"/>
  <c r="CL91" i="159" s="1"/>
  <c r="CO91" i="159" s="1"/>
  <c r="CR91" i="159" s="1"/>
  <c r="CU91" i="159" s="1"/>
  <c r="CW90" i="159"/>
  <c r="CV90" i="159"/>
  <c r="I90" i="159"/>
  <c r="L90" i="159" s="1"/>
  <c r="O90" i="159" s="1"/>
  <c r="R90" i="159" s="1"/>
  <c r="U90" i="159" s="1"/>
  <c r="X90" i="159" s="1"/>
  <c r="AA90" i="159" s="1"/>
  <c r="AD90" i="159" s="1"/>
  <c r="AG90" i="159" s="1"/>
  <c r="AJ90" i="159" s="1"/>
  <c r="AM90" i="159" s="1"/>
  <c r="AP90" i="159" s="1"/>
  <c r="AS90" i="159" s="1"/>
  <c r="AV90" i="159" s="1"/>
  <c r="AY90" i="159" s="1"/>
  <c r="BB90" i="159" s="1"/>
  <c r="BE90" i="159" s="1"/>
  <c r="BH90" i="159" s="1"/>
  <c r="BK90" i="159" s="1"/>
  <c r="BN90" i="159" s="1"/>
  <c r="BQ90" i="159" s="1"/>
  <c r="BT90" i="159" s="1"/>
  <c r="BW90" i="159" s="1"/>
  <c r="BZ90" i="159" s="1"/>
  <c r="CC90" i="159" s="1"/>
  <c r="CF90" i="159" s="1"/>
  <c r="CI90" i="159" s="1"/>
  <c r="CL90" i="159" s="1"/>
  <c r="CO90" i="159" s="1"/>
  <c r="CR90" i="159" s="1"/>
  <c r="CU90" i="159" s="1"/>
  <c r="CW89" i="159"/>
  <c r="CV89" i="159"/>
  <c r="I89" i="159"/>
  <c r="L89" i="159" s="1"/>
  <c r="O89" i="159" s="1"/>
  <c r="R89" i="159" s="1"/>
  <c r="U89" i="159" s="1"/>
  <c r="X89" i="159" s="1"/>
  <c r="AA89" i="159" s="1"/>
  <c r="AD89" i="159" s="1"/>
  <c r="AG89" i="159" s="1"/>
  <c r="AJ89" i="159" s="1"/>
  <c r="AM89" i="159" s="1"/>
  <c r="AP89" i="159" s="1"/>
  <c r="AS89" i="159" s="1"/>
  <c r="AV89" i="159" s="1"/>
  <c r="AY89" i="159" s="1"/>
  <c r="BB89" i="159" s="1"/>
  <c r="BE89" i="159" s="1"/>
  <c r="BH89" i="159" s="1"/>
  <c r="BK89" i="159" s="1"/>
  <c r="BN89" i="159" s="1"/>
  <c r="BQ89" i="159" s="1"/>
  <c r="BT89" i="159" s="1"/>
  <c r="BW89" i="159" s="1"/>
  <c r="BZ89" i="159" s="1"/>
  <c r="CC89" i="159" s="1"/>
  <c r="CF89" i="159" s="1"/>
  <c r="CI89" i="159" s="1"/>
  <c r="CL89" i="159" s="1"/>
  <c r="CO89" i="159" s="1"/>
  <c r="CR89" i="159" s="1"/>
  <c r="CU89" i="159" s="1"/>
  <c r="DB89" i="159" s="1"/>
  <c r="DE89" i="159" s="1"/>
  <c r="CW88" i="159"/>
  <c r="CV88" i="159"/>
  <c r="I88" i="159"/>
  <c r="L88" i="159" s="1"/>
  <c r="O88" i="159" s="1"/>
  <c r="R88" i="159" s="1"/>
  <c r="U88" i="159" s="1"/>
  <c r="X88" i="159" s="1"/>
  <c r="AA88" i="159" s="1"/>
  <c r="AD88" i="159" s="1"/>
  <c r="AG88" i="159" s="1"/>
  <c r="AJ88" i="159" s="1"/>
  <c r="AM88" i="159" s="1"/>
  <c r="AP88" i="159" s="1"/>
  <c r="AS88" i="159" s="1"/>
  <c r="AV88" i="159" s="1"/>
  <c r="AY88" i="159" s="1"/>
  <c r="BB88" i="159" s="1"/>
  <c r="BE88" i="159" s="1"/>
  <c r="BH88" i="159" s="1"/>
  <c r="BK88" i="159" s="1"/>
  <c r="BN88" i="159" s="1"/>
  <c r="BQ88" i="159" s="1"/>
  <c r="BT88" i="159" s="1"/>
  <c r="BW88" i="159" s="1"/>
  <c r="BZ88" i="159" s="1"/>
  <c r="CC88" i="159" s="1"/>
  <c r="CF88" i="159" s="1"/>
  <c r="CI88" i="159" s="1"/>
  <c r="CL88" i="159" s="1"/>
  <c r="CO88" i="159" s="1"/>
  <c r="CR88" i="159" s="1"/>
  <c r="CU88" i="159" s="1"/>
  <c r="CW87" i="159"/>
  <c r="CV87" i="159"/>
  <c r="I87" i="159"/>
  <c r="L87" i="159" s="1"/>
  <c r="O87" i="159" s="1"/>
  <c r="R87" i="159" s="1"/>
  <c r="U87" i="159" s="1"/>
  <c r="X87" i="159" s="1"/>
  <c r="AA87" i="159" s="1"/>
  <c r="AD87" i="159" s="1"/>
  <c r="AG87" i="159" s="1"/>
  <c r="AJ87" i="159" s="1"/>
  <c r="AM87" i="159" s="1"/>
  <c r="AP87" i="159" s="1"/>
  <c r="AS87" i="159" s="1"/>
  <c r="AV87" i="159" s="1"/>
  <c r="AY87" i="159" s="1"/>
  <c r="BB87" i="159" s="1"/>
  <c r="BE87" i="159" s="1"/>
  <c r="BH87" i="159" s="1"/>
  <c r="BK87" i="159" s="1"/>
  <c r="BN87" i="159" s="1"/>
  <c r="BQ87" i="159" s="1"/>
  <c r="BT87" i="159" s="1"/>
  <c r="BW87" i="159" s="1"/>
  <c r="BZ87" i="159" s="1"/>
  <c r="CC87" i="159" s="1"/>
  <c r="CF87" i="159" s="1"/>
  <c r="CI87" i="159" s="1"/>
  <c r="CL87" i="159" s="1"/>
  <c r="CO87" i="159" s="1"/>
  <c r="CR87" i="159" s="1"/>
  <c r="CU87" i="159" s="1"/>
  <c r="CW86" i="159"/>
  <c r="CV86" i="159"/>
  <c r="I86" i="159"/>
  <c r="L86" i="159" s="1"/>
  <c r="O86" i="159" s="1"/>
  <c r="R86" i="159" s="1"/>
  <c r="U86" i="159" s="1"/>
  <c r="X86" i="159" s="1"/>
  <c r="AA86" i="159" s="1"/>
  <c r="AD86" i="159" s="1"/>
  <c r="AG86" i="159" s="1"/>
  <c r="AJ86" i="159" s="1"/>
  <c r="AM86" i="159" s="1"/>
  <c r="AP86" i="159" s="1"/>
  <c r="AS86" i="159" s="1"/>
  <c r="AV86" i="159" s="1"/>
  <c r="AY86" i="159" s="1"/>
  <c r="BB86" i="159" s="1"/>
  <c r="BE86" i="159" s="1"/>
  <c r="BH86" i="159" s="1"/>
  <c r="BK86" i="159" s="1"/>
  <c r="BN86" i="159" s="1"/>
  <c r="BQ86" i="159" s="1"/>
  <c r="BT86" i="159" s="1"/>
  <c r="BW86" i="159" s="1"/>
  <c r="BZ86" i="159" s="1"/>
  <c r="CC86" i="159" s="1"/>
  <c r="CF86" i="159" s="1"/>
  <c r="CI86" i="159" s="1"/>
  <c r="CL86" i="159" s="1"/>
  <c r="CO86" i="159" s="1"/>
  <c r="CR86" i="159" s="1"/>
  <c r="CU86" i="159" s="1"/>
  <c r="CW85" i="159"/>
  <c r="CV85" i="159"/>
  <c r="I85" i="159"/>
  <c r="L85" i="159" s="1"/>
  <c r="O85" i="159" s="1"/>
  <c r="R85" i="159" s="1"/>
  <c r="U85" i="159" s="1"/>
  <c r="X85" i="159" s="1"/>
  <c r="AA85" i="159" s="1"/>
  <c r="AD85" i="159" s="1"/>
  <c r="AG85" i="159" s="1"/>
  <c r="AJ85" i="159" s="1"/>
  <c r="AM85" i="159" s="1"/>
  <c r="AP85" i="159" s="1"/>
  <c r="AS85" i="159" s="1"/>
  <c r="AV85" i="159" s="1"/>
  <c r="AY85" i="159" s="1"/>
  <c r="BB85" i="159" s="1"/>
  <c r="BE85" i="159" s="1"/>
  <c r="BH85" i="159" s="1"/>
  <c r="BK85" i="159" s="1"/>
  <c r="BN85" i="159" s="1"/>
  <c r="BQ85" i="159" s="1"/>
  <c r="BT85" i="159" s="1"/>
  <c r="BW85" i="159" s="1"/>
  <c r="BZ85" i="159" s="1"/>
  <c r="CC85" i="159" s="1"/>
  <c r="CF85" i="159" s="1"/>
  <c r="CI85" i="159" s="1"/>
  <c r="CL85" i="159" s="1"/>
  <c r="CO85" i="159" s="1"/>
  <c r="CR85" i="159" s="1"/>
  <c r="CU85" i="159" s="1"/>
  <c r="CV84" i="159"/>
  <c r="I84" i="159"/>
  <c r="L84" i="159" s="1"/>
  <c r="O84" i="159" s="1"/>
  <c r="R84" i="159" s="1"/>
  <c r="U84" i="159" s="1"/>
  <c r="X84" i="159" s="1"/>
  <c r="AA84" i="159" s="1"/>
  <c r="AD84" i="159" s="1"/>
  <c r="AG84" i="159" s="1"/>
  <c r="AJ84" i="159" s="1"/>
  <c r="AM84" i="159" s="1"/>
  <c r="AP84" i="159" s="1"/>
  <c r="AS84" i="159" s="1"/>
  <c r="AV84" i="159" s="1"/>
  <c r="AY84" i="159" s="1"/>
  <c r="BB84" i="159" s="1"/>
  <c r="BE84" i="159" s="1"/>
  <c r="BH84" i="159" s="1"/>
  <c r="BK84" i="159" s="1"/>
  <c r="BN84" i="159" s="1"/>
  <c r="BQ84" i="159" s="1"/>
  <c r="BT84" i="159" s="1"/>
  <c r="BW84" i="159" s="1"/>
  <c r="BZ84" i="159" s="1"/>
  <c r="CC84" i="159" s="1"/>
  <c r="CF84" i="159" s="1"/>
  <c r="CI84" i="159" s="1"/>
  <c r="CL84" i="159" s="1"/>
  <c r="CO84" i="159" s="1"/>
  <c r="CR84" i="159" s="1"/>
  <c r="CU84" i="159" s="1"/>
  <c r="CV83" i="159"/>
  <c r="CW83" i="159"/>
  <c r="I83" i="159"/>
  <c r="L83" i="159" s="1"/>
  <c r="O83" i="159" s="1"/>
  <c r="R83" i="159" s="1"/>
  <c r="U83" i="159" s="1"/>
  <c r="X83" i="159" s="1"/>
  <c r="AA83" i="159" s="1"/>
  <c r="AD83" i="159" s="1"/>
  <c r="AG83" i="159" s="1"/>
  <c r="AJ83" i="159" s="1"/>
  <c r="AM83" i="159" s="1"/>
  <c r="AP83" i="159" s="1"/>
  <c r="AS83" i="159" s="1"/>
  <c r="AV83" i="159" s="1"/>
  <c r="AY83" i="159" s="1"/>
  <c r="BB83" i="159" s="1"/>
  <c r="BE83" i="159" s="1"/>
  <c r="BH83" i="159" s="1"/>
  <c r="BK83" i="159" s="1"/>
  <c r="BN83" i="159" s="1"/>
  <c r="BQ83" i="159" s="1"/>
  <c r="BT83" i="159" s="1"/>
  <c r="BW83" i="159" s="1"/>
  <c r="BZ83" i="159" s="1"/>
  <c r="CC83" i="159" s="1"/>
  <c r="CF83" i="159" s="1"/>
  <c r="CI83" i="159" s="1"/>
  <c r="CL83" i="159" s="1"/>
  <c r="CO83" i="159" s="1"/>
  <c r="CR83" i="159" s="1"/>
  <c r="CU83" i="159" s="1"/>
  <c r="CW82" i="159"/>
  <c r="CV82" i="159"/>
  <c r="I82" i="159"/>
  <c r="L82" i="159" s="1"/>
  <c r="O82" i="159" s="1"/>
  <c r="R82" i="159" s="1"/>
  <c r="U82" i="159" s="1"/>
  <c r="X82" i="159" s="1"/>
  <c r="AA82" i="159" s="1"/>
  <c r="AD82" i="159" s="1"/>
  <c r="AG82" i="159" s="1"/>
  <c r="AJ82" i="159" s="1"/>
  <c r="AM82" i="159" s="1"/>
  <c r="AP82" i="159" s="1"/>
  <c r="AS82" i="159" s="1"/>
  <c r="AV82" i="159" s="1"/>
  <c r="AY82" i="159" s="1"/>
  <c r="BB82" i="159" s="1"/>
  <c r="BE82" i="159" s="1"/>
  <c r="BH82" i="159" s="1"/>
  <c r="BK82" i="159" s="1"/>
  <c r="BN82" i="159" s="1"/>
  <c r="BQ82" i="159" s="1"/>
  <c r="BT82" i="159" s="1"/>
  <c r="BW82" i="159" s="1"/>
  <c r="BZ82" i="159" s="1"/>
  <c r="CC82" i="159" s="1"/>
  <c r="CF82" i="159" s="1"/>
  <c r="CI82" i="159" s="1"/>
  <c r="CL82" i="159" s="1"/>
  <c r="CO82" i="159" s="1"/>
  <c r="CR82" i="159" s="1"/>
  <c r="CU82" i="159" s="1"/>
  <c r="CW81" i="159"/>
  <c r="CV81" i="159"/>
  <c r="I81" i="159"/>
  <c r="L81" i="159" s="1"/>
  <c r="O81" i="159" s="1"/>
  <c r="R81" i="159" s="1"/>
  <c r="U81" i="159" s="1"/>
  <c r="X81" i="159" s="1"/>
  <c r="AA81" i="159" s="1"/>
  <c r="AD81" i="159" s="1"/>
  <c r="AG81" i="159" s="1"/>
  <c r="AJ81" i="159" s="1"/>
  <c r="AM81" i="159" s="1"/>
  <c r="AP81" i="159" s="1"/>
  <c r="AS81" i="159" s="1"/>
  <c r="AV81" i="159" s="1"/>
  <c r="AY81" i="159" s="1"/>
  <c r="BB81" i="159" s="1"/>
  <c r="BE81" i="159" s="1"/>
  <c r="BH81" i="159" s="1"/>
  <c r="BK81" i="159" s="1"/>
  <c r="BN81" i="159" s="1"/>
  <c r="BQ81" i="159" s="1"/>
  <c r="BT81" i="159" s="1"/>
  <c r="BW81" i="159" s="1"/>
  <c r="BZ81" i="159" s="1"/>
  <c r="CC81" i="159" s="1"/>
  <c r="CF81" i="159" s="1"/>
  <c r="CI81" i="159" s="1"/>
  <c r="CL81" i="159" s="1"/>
  <c r="CO81" i="159" s="1"/>
  <c r="CR81" i="159" s="1"/>
  <c r="CU81" i="159" s="1"/>
  <c r="CV80" i="159"/>
  <c r="CW80" i="159"/>
  <c r="I80" i="159"/>
  <c r="L80" i="159" s="1"/>
  <c r="O80" i="159" s="1"/>
  <c r="R80" i="159" s="1"/>
  <c r="U80" i="159" s="1"/>
  <c r="X80" i="159" s="1"/>
  <c r="AA80" i="159" s="1"/>
  <c r="AD80" i="159" s="1"/>
  <c r="AG80" i="159" s="1"/>
  <c r="AJ80" i="159" s="1"/>
  <c r="AM80" i="159" s="1"/>
  <c r="AP80" i="159" s="1"/>
  <c r="AS80" i="159" s="1"/>
  <c r="AV80" i="159" s="1"/>
  <c r="AY80" i="159" s="1"/>
  <c r="BB80" i="159" s="1"/>
  <c r="BE80" i="159" s="1"/>
  <c r="BH80" i="159" s="1"/>
  <c r="BK80" i="159" s="1"/>
  <c r="BN80" i="159" s="1"/>
  <c r="BQ80" i="159" s="1"/>
  <c r="BT80" i="159" s="1"/>
  <c r="BW80" i="159" s="1"/>
  <c r="BZ80" i="159" s="1"/>
  <c r="CC80" i="159" s="1"/>
  <c r="CF80" i="159" s="1"/>
  <c r="CI80" i="159" s="1"/>
  <c r="CL80" i="159" s="1"/>
  <c r="CO80" i="159" s="1"/>
  <c r="CR80" i="159" s="1"/>
  <c r="CU80" i="159" s="1"/>
  <c r="CW79" i="159"/>
  <c r="CV79" i="159"/>
  <c r="I79" i="159"/>
  <c r="L79" i="159" s="1"/>
  <c r="O79" i="159" s="1"/>
  <c r="R79" i="159" s="1"/>
  <c r="U79" i="159" s="1"/>
  <c r="X79" i="159" s="1"/>
  <c r="AA79" i="159" s="1"/>
  <c r="AD79" i="159" s="1"/>
  <c r="AG79" i="159" s="1"/>
  <c r="AJ79" i="159" s="1"/>
  <c r="AM79" i="159" s="1"/>
  <c r="AP79" i="159" s="1"/>
  <c r="AS79" i="159" s="1"/>
  <c r="AV79" i="159" s="1"/>
  <c r="AY79" i="159" s="1"/>
  <c r="BB79" i="159" s="1"/>
  <c r="BE79" i="159" s="1"/>
  <c r="BH79" i="159" s="1"/>
  <c r="BK79" i="159" s="1"/>
  <c r="BN79" i="159" s="1"/>
  <c r="BQ79" i="159" s="1"/>
  <c r="BT79" i="159" s="1"/>
  <c r="BW79" i="159" s="1"/>
  <c r="BZ79" i="159" s="1"/>
  <c r="CC79" i="159" s="1"/>
  <c r="CF79" i="159" s="1"/>
  <c r="CI79" i="159" s="1"/>
  <c r="CL79" i="159" s="1"/>
  <c r="CO79" i="159" s="1"/>
  <c r="CR79" i="159" s="1"/>
  <c r="CU79" i="159" s="1"/>
  <c r="CZ78" i="159"/>
  <c r="CW78" i="159"/>
  <c r="CV78" i="159"/>
  <c r="I78" i="159"/>
  <c r="L78" i="159" s="1"/>
  <c r="O78" i="159" s="1"/>
  <c r="R78" i="159" s="1"/>
  <c r="U78" i="159" s="1"/>
  <c r="X78" i="159" s="1"/>
  <c r="AA78" i="159" s="1"/>
  <c r="AD78" i="159" s="1"/>
  <c r="AG78" i="159" s="1"/>
  <c r="AJ78" i="159" s="1"/>
  <c r="AM78" i="159" s="1"/>
  <c r="AP78" i="159" s="1"/>
  <c r="AS78" i="159" s="1"/>
  <c r="AV78" i="159" s="1"/>
  <c r="AY78" i="159" s="1"/>
  <c r="BB78" i="159" s="1"/>
  <c r="BE78" i="159" s="1"/>
  <c r="BH78" i="159" s="1"/>
  <c r="BK78" i="159" s="1"/>
  <c r="BN78" i="159" s="1"/>
  <c r="BQ78" i="159" s="1"/>
  <c r="BT78" i="159" s="1"/>
  <c r="BW78" i="159" s="1"/>
  <c r="BZ78" i="159" s="1"/>
  <c r="CC78" i="159" s="1"/>
  <c r="CF78" i="159" s="1"/>
  <c r="CI78" i="159" s="1"/>
  <c r="CL78" i="159" s="1"/>
  <c r="CO78" i="159" s="1"/>
  <c r="CR78" i="159" s="1"/>
  <c r="CU78" i="159" s="1"/>
  <c r="DB78" i="159" s="1"/>
  <c r="DE78" i="159" s="1"/>
  <c r="CW76" i="159"/>
  <c r="I76" i="159"/>
  <c r="L76" i="159" s="1"/>
  <c r="O76" i="159" s="1"/>
  <c r="R76" i="159" s="1"/>
  <c r="U76" i="159" s="1"/>
  <c r="X76" i="159" s="1"/>
  <c r="AA76" i="159" s="1"/>
  <c r="AD76" i="159" s="1"/>
  <c r="AG76" i="159" s="1"/>
  <c r="AJ76" i="159" s="1"/>
  <c r="AM76" i="159" s="1"/>
  <c r="AP76" i="159" s="1"/>
  <c r="AS76" i="159" s="1"/>
  <c r="AV76" i="159" s="1"/>
  <c r="AY76" i="159" s="1"/>
  <c r="BB76" i="159" s="1"/>
  <c r="BE76" i="159" s="1"/>
  <c r="BH76" i="159" s="1"/>
  <c r="BK76" i="159" s="1"/>
  <c r="BN76" i="159" s="1"/>
  <c r="BQ76" i="159" s="1"/>
  <c r="BT76" i="159" s="1"/>
  <c r="BW76" i="159" s="1"/>
  <c r="BZ76" i="159" s="1"/>
  <c r="CC76" i="159" s="1"/>
  <c r="CF76" i="159" s="1"/>
  <c r="CI76" i="159" s="1"/>
  <c r="CL76" i="159" s="1"/>
  <c r="CO76" i="159" s="1"/>
  <c r="CR76" i="159" s="1"/>
  <c r="CU76" i="159" s="1"/>
  <c r="CW74" i="159"/>
  <c r="CV74" i="159"/>
  <c r="I74" i="159"/>
  <c r="L74" i="159" s="1"/>
  <c r="O74" i="159" s="1"/>
  <c r="R74" i="159" s="1"/>
  <c r="U74" i="159" s="1"/>
  <c r="X74" i="159" s="1"/>
  <c r="AA74" i="159" s="1"/>
  <c r="AD74" i="159" s="1"/>
  <c r="AG74" i="159" s="1"/>
  <c r="AJ74" i="159" s="1"/>
  <c r="AM74" i="159" s="1"/>
  <c r="AP74" i="159" s="1"/>
  <c r="AS74" i="159" s="1"/>
  <c r="AV74" i="159" s="1"/>
  <c r="AY74" i="159" s="1"/>
  <c r="BB74" i="159" s="1"/>
  <c r="BE74" i="159" s="1"/>
  <c r="BH74" i="159" s="1"/>
  <c r="BK74" i="159" s="1"/>
  <c r="BN74" i="159" s="1"/>
  <c r="BQ74" i="159" s="1"/>
  <c r="BT74" i="159" s="1"/>
  <c r="BW74" i="159" s="1"/>
  <c r="BZ74" i="159" s="1"/>
  <c r="CC74" i="159" s="1"/>
  <c r="CF74" i="159" s="1"/>
  <c r="CI74" i="159" s="1"/>
  <c r="CL74" i="159" s="1"/>
  <c r="CO74" i="159" s="1"/>
  <c r="CR74" i="159" s="1"/>
  <c r="CU74" i="159" s="1"/>
  <c r="CW73" i="159"/>
  <c r="CV73" i="159"/>
  <c r="I73" i="159"/>
  <c r="L73" i="159" s="1"/>
  <c r="O73" i="159" s="1"/>
  <c r="R73" i="159" s="1"/>
  <c r="U73" i="159" s="1"/>
  <c r="X73" i="159" s="1"/>
  <c r="AA73" i="159" s="1"/>
  <c r="AD73" i="159" s="1"/>
  <c r="AG73" i="159" s="1"/>
  <c r="AJ73" i="159" s="1"/>
  <c r="AM73" i="159" s="1"/>
  <c r="AP73" i="159" s="1"/>
  <c r="AS73" i="159" s="1"/>
  <c r="AV73" i="159" s="1"/>
  <c r="AY73" i="159" s="1"/>
  <c r="BB73" i="159" s="1"/>
  <c r="BE73" i="159" s="1"/>
  <c r="BH73" i="159" s="1"/>
  <c r="BK73" i="159" s="1"/>
  <c r="BN73" i="159" s="1"/>
  <c r="BQ73" i="159" s="1"/>
  <c r="BT73" i="159" s="1"/>
  <c r="BW73" i="159" s="1"/>
  <c r="BZ73" i="159" s="1"/>
  <c r="CC73" i="159" s="1"/>
  <c r="CF73" i="159" s="1"/>
  <c r="CI73" i="159" s="1"/>
  <c r="CL73" i="159" s="1"/>
  <c r="CO73" i="159" s="1"/>
  <c r="CR73" i="159" s="1"/>
  <c r="CU73" i="159" s="1"/>
  <c r="CW72" i="159"/>
  <c r="CV72" i="159"/>
  <c r="I72" i="159"/>
  <c r="L72" i="159" s="1"/>
  <c r="O72" i="159" s="1"/>
  <c r="R72" i="159" s="1"/>
  <c r="U72" i="159" s="1"/>
  <c r="X72" i="159" s="1"/>
  <c r="AA72" i="159" s="1"/>
  <c r="AD72" i="159" s="1"/>
  <c r="AG72" i="159" s="1"/>
  <c r="AJ72" i="159" s="1"/>
  <c r="AM72" i="159" s="1"/>
  <c r="AP72" i="159" s="1"/>
  <c r="AS72" i="159" s="1"/>
  <c r="AV72" i="159" s="1"/>
  <c r="AY72" i="159" s="1"/>
  <c r="BB72" i="159" s="1"/>
  <c r="BE72" i="159" s="1"/>
  <c r="BH72" i="159" s="1"/>
  <c r="BK72" i="159" s="1"/>
  <c r="BN72" i="159" s="1"/>
  <c r="BQ72" i="159" s="1"/>
  <c r="BT72" i="159" s="1"/>
  <c r="BW72" i="159" s="1"/>
  <c r="BZ72" i="159" s="1"/>
  <c r="CC72" i="159" s="1"/>
  <c r="CF72" i="159" s="1"/>
  <c r="CI72" i="159" s="1"/>
  <c r="CL72" i="159" s="1"/>
  <c r="CO72" i="159" s="1"/>
  <c r="CR72" i="159" s="1"/>
  <c r="CU72" i="159" s="1"/>
  <c r="CV71" i="159"/>
  <c r="CW71" i="159"/>
  <c r="I71" i="159"/>
  <c r="L71" i="159" s="1"/>
  <c r="O71" i="159" s="1"/>
  <c r="R71" i="159" s="1"/>
  <c r="U71" i="159" s="1"/>
  <c r="X71" i="159" s="1"/>
  <c r="AA71" i="159" s="1"/>
  <c r="AD71" i="159" s="1"/>
  <c r="AG71" i="159" s="1"/>
  <c r="AJ71" i="159" s="1"/>
  <c r="AM71" i="159" s="1"/>
  <c r="AP71" i="159" s="1"/>
  <c r="AS71" i="159" s="1"/>
  <c r="AV71" i="159" s="1"/>
  <c r="AY71" i="159" s="1"/>
  <c r="BB71" i="159" s="1"/>
  <c r="BE71" i="159" s="1"/>
  <c r="BH71" i="159" s="1"/>
  <c r="BK71" i="159" s="1"/>
  <c r="BN71" i="159" s="1"/>
  <c r="BQ71" i="159" s="1"/>
  <c r="BT71" i="159" s="1"/>
  <c r="BW71" i="159" s="1"/>
  <c r="BZ71" i="159" s="1"/>
  <c r="CC71" i="159" s="1"/>
  <c r="CF71" i="159" s="1"/>
  <c r="CI71" i="159" s="1"/>
  <c r="CL71" i="159" s="1"/>
  <c r="CO71" i="159" s="1"/>
  <c r="CR71" i="159" s="1"/>
  <c r="CU71" i="159" s="1"/>
  <c r="CW70" i="159"/>
  <c r="CV70" i="159"/>
  <c r="I70" i="159"/>
  <c r="L70" i="159" s="1"/>
  <c r="O70" i="159" s="1"/>
  <c r="R70" i="159" s="1"/>
  <c r="U70" i="159" s="1"/>
  <c r="X70" i="159" s="1"/>
  <c r="AA70" i="159" s="1"/>
  <c r="AD70" i="159" s="1"/>
  <c r="AG70" i="159" s="1"/>
  <c r="AJ70" i="159" s="1"/>
  <c r="AM70" i="159" s="1"/>
  <c r="AP70" i="159" s="1"/>
  <c r="AS70" i="159" s="1"/>
  <c r="AV70" i="159" s="1"/>
  <c r="AY70" i="159" s="1"/>
  <c r="BB70" i="159" s="1"/>
  <c r="BE70" i="159" s="1"/>
  <c r="BH70" i="159" s="1"/>
  <c r="BK70" i="159" s="1"/>
  <c r="BN70" i="159" s="1"/>
  <c r="BQ70" i="159" s="1"/>
  <c r="BT70" i="159" s="1"/>
  <c r="BW70" i="159" s="1"/>
  <c r="BZ70" i="159" s="1"/>
  <c r="CC70" i="159" s="1"/>
  <c r="CF70" i="159" s="1"/>
  <c r="CI70" i="159" s="1"/>
  <c r="CL70" i="159" s="1"/>
  <c r="CO70" i="159" s="1"/>
  <c r="CR70" i="159" s="1"/>
  <c r="CU70" i="159" s="1"/>
  <c r="CW69" i="159"/>
  <c r="CV69" i="159"/>
  <c r="I69" i="159"/>
  <c r="L69" i="159" s="1"/>
  <c r="O69" i="159" s="1"/>
  <c r="R69" i="159" s="1"/>
  <c r="U69" i="159" s="1"/>
  <c r="X69" i="159" s="1"/>
  <c r="AA69" i="159" s="1"/>
  <c r="AD69" i="159" s="1"/>
  <c r="AG69" i="159" s="1"/>
  <c r="AJ69" i="159" s="1"/>
  <c r="AM69" i="159" s="1"/>
  <c r="AP69" i="159" s="1"/>
  <c r="AS69" i="159" s="1"/>
  <c r="AV69" i="159" s="1"/>
  <c r="AY69" i="159" s="1"/>
  <c r="BB69" i="159" s="1"/>
  <c r="BE69" i="159" s="1"/>
  <c r="BH69" i="159" s="1"/>
  <c r="BK69" i="159" s="1"/>
  <c r="BN69" i="159" s="1"/>
  <c r="BQ69" i="159" s="1"/>
  <c r="BT69" i="159" s="1"/>
  <c r="BW69" i="159" s="1"/>
  <c r="BZ69" i="159" s="1"/>
  <c r="CC69" i="159" s="1"/>
  <c r="CF69" i="159" s="1"/>
  <c r="CI69" i="159" s="1"/>
  <c r="CL69" i="159" s="1"/>
  <c r="CO69" i="159" s="1"/>
  <c r="CR69" i="159" s="1"/>
  <c r="CU69" i="159" s="1"/>
  <c r="CV68" i="159"/>
  <c r="CW68" i="159"/>
  <c r="I68" i="159"/>
  <c r="L68" i="159" s="1"/>
  <c r="O68" i="159" s="1"/>
  <c r="R68" i="159" s="1"/>
  <c r="U68" i="159" s="1"/>
  <c r="X68" i="159" s="1"/>
  <c r="AA68" i="159" s="1"/>
  <c r="AD68" i="159" s="1"/>
  <c r="AG68" i="159" s="1"/>
  <c r="AJ68" i="159" s="1"/>
  <c r="AM68" i="159" s="1"/>
  <c r="AP68" i="159" s="1"/>
  <c r="AS68" i="159" s="1"/>
  <c r="AV68" i="159" s="1"/>
  <c r="AY68" i="159" s="1"/>
  <c r="BB68" i="159" s="1"/>
  <c r="BE68" i="159" s="1"/>
  <c r="BH68" i="159" s="1"/>
  <c r="BK68" i="159" s="1"/>
  <c r="BN68" i="159" s="1"/>
  <c r="BQ68" i="159" s="1"/>
  <c r="BT68" i="159" s="1"/>
  <c r="BW68" i="159" s="1"/>
  <c r="BZ68" i="159" s="1"/>
  <c r="CC68" i="159" s="1"/>
  <c r="CF68" i="159" s="1"/>
  <c r="CI68" i="159" s="1"/>
  <c r="CL68" i="159" s="1"/>
  <c r="CO68" i="159" s="1"/>
  <c r="CR68" i="159" s="1"/>
  <c r="CU68" i="159" s="1"/>
  <c r="CW67" i="159"/>
  <c r="I67" i="159"/>
  <c r="L67" i="159" s="1"/>
  <c r="CW66" i="159"/>
  <c r="CV66" i="159"/>
  <c r="I66" i="159"/>
  <c r="L66" i="159" s="1"/>
  <c r="O66" i="159" s="1"/>
  <c r="R66" i="159" s="1"/>
  <c r="U66" i="159" s="1"/>
  <c r="X66" i="159" s="1"/>
  <c r="AA66" i="159" s="1"/>
  <c r="AD66" i="159" s="1"/>
  <c r="AG66" i="159" s="1"/>
  <c r="AJ66" i="159" s="1"/>
  <c r="AM66" i="159" s="1"/>
  <c r="AP66" i="159" s="1"/>
  <c r="AS66" i="159" s="1"/>
  <c r="AV66" i="159" s="1"/>
  <c r="AY66" i="159" s="1"/>
  <c r="BB66" i="159" s="1"/>
  <c r="BE66" i="159" s="1"/>
  <c r="BH66" i="159" s="1"/>
  <c r="BK66" i="159" s="1"/>
  <c r="BN66" i="159" s="1"/>
  <c r="BQ66" i="159" s="1"/>
  <c r="BT66" i="159" s="1"/>
  <c r="BW66" i="159" s="1"/>
  <c r="BZ66" i="159" s="1"/>
  <c r="CC66" i="159" s="1"/>
  <c r="CF66" i="159" s="1"/>
  <c r="CI66" i="159" s="1"/>
  <c r="CL66" i="159" s="1"/>
  <c r="CO66" i="159" s="1"/>
  <c r="CR66" i="159" s="1"/>
  <c r="CU66" i="159" s="1"/>
  <c r="CW65" i="159"/>
  <c r="CV65" i="159"/>
  <c r="I65" i="159"/>
  <c r="L65" i="159" s="1"/>
  <c r="O65" i="159" s="1"/>
  <c r="R65" i="159" s="1"/>
  <c r="U65" i="159" s="1"/>
  <c r="X65" i="159" s="1"/>
  <c r="AA65" i="159" s="1"/>
  <c r="AD65" i="159" s="1"/>
  <c r="AG65" i="159" s="1"/>
  <c r="AJ65" i="159" s="1"/>
  <c r="AM65" i="159" s="1"/>
  <c r="AP65" i="159" s="1"/>
  <c r="AS65" i="159" s="1"/>
  <c r="AV65" i="159" s="1"/>
  <c r="AY65" i="159" s="1"/>
  <c r="BB65" i="159" s="1"/>
  <c r="BE65" i="159" s="1"/>
  <c r="BH65" i="159" s="1"/>
  <c r="BK65" i="159" s="1"/>
  <c r="BN65" i="159" s="1"/>
  <c r="BQ65" i="159" s="1"/>
  <c r="BT65" i="159" s="1"/>
  <c r="BW65" i="159" s="1"/>
  <c r="BZ65" i="159" s="1"/>
  <c r="CC65" i="159" s="1"/>
  <c r="CF65" i="159" s="1"/>
  <c r="CI65" i="159" s="1"/>
  <c r="CL65" i="159" s="1"/>
  <c r="CO65" i="159" s="1"/>
  <c r="CR65" i="159" s="1"/>
  <c r="CU65" i="159" s="1"/>
  <c r="CW64" i="159"/>
  <c r="CV64" i="159"/>
  <c r="I64" i="159"/>
  <c r="L64" i="159" s="1"/>
  <c r="O64" i="159" s="1"/>
  <c r="R64" i="159" s="1"/>
  <c r="U64" i="159" s="1"/>
  <c r="X64" i="159" s="1"/>
  <c r="AA64" i="159" s="1"/>
  <c r="AD64" i="159" s="1"/>
  <c r="AG64" i="159" s="1"/>
  <c r="AJ64" i="159" s="1"/>
  <c r="AM64" i="159" s="1"/>
  <c r="AP64" i="159" s="1"/>
  <c r="AS64" i="159" s="1"/>
  <c r="AV64" i="159" s="1"/>
  <c r="AY64" i="159" s="1"/>
  <c r="BB64" i="159" s="1"/>
  <c r="BE64" i="159" s="1"/>
  <c r="BH64" i="159" s="1"/>
  <c r="BK64" i="159" s="1"/>
  <c r="BN64" i="159" s="1"/>
  <c r="BQ64" i="159" s="1"/>
  <c r="BT64" i="159" s="1"/>
  <c r="BW64" i="159" s="1"/>
  <c r="BZ64" i="159" s="1"/>
  <c r="CC64" i="159" s="1"/>
  <c r="CF64" i="159" s="1"/>
  <c r="CI64" i="159" s="1"/>
  <c r="CL64" i="159" s="1"/>
  <c r="CO64" i="159" s="1"/>
  <c r="CR64" i="159" s="1"/>
  <c r="CU64" i="159" s="1"/>
  <c r="CV63" i="159"/>
  <c r="CW62" i="159"/>
  <c r="CV62" i="159"/>
  <c r="I62" i="159"/>
  <c r="L62" i="159" s="1"/>
  <c r="O62" i="159" s="1"/>
  <c r="R62" i="159" s="1"/>
  <c r="U62" i="159" s="1"/>
  <c r="X62" i="159" s="1"/>
  <c r="AA62" i="159" s="1"/>
  <c r="AD62" i="159" s="1"/>
  <c r="AG62" i="159" s="1"/>
  <c r="AJ62" i="159" s="1"/>
  <c r="AM62" i="159" s="1"/>
  <c r="AP62" i="159" s="1"/>
  <c r="AS62" i="159" s="1"/>
  <c r="AV62" i="159" s="1"/>
  <c r="AY62" i="159" s="1"/>
  <c r="BB62" i="159" s="1"/>
  <c r="BE62" i="159" s="1"/>
  <c r="BH62" i="159" s="1"/>
  <c r="BK62" i="159" s="1"/>
  <c r="BN62" i="159" s="1"/>
  <c r="BQ62" i="159" s="1"/>
  <c r="BT62" i="159" s="1"/>
  <c r="BW62" i="159" s="1"/>
  <c r="BZ62" i="159" s="1"/>
  <c r="CC62" i="159" s="1"/>
  <c r="CF62" i="159" s="1"/>
  <c r="CI62" i="159" s="1"/>
  <c r="CL62" i="159" s="1"/>
  <c r="CO62" i="159" s="1"/>
  <c r="CR62" i="159" s="1"/>
  <c r="CU62" i="159" s="1"/>
  <c r="CW61" i="159"/>
  <c r="CV61" i="159"/>
  <c r="I61" i="159"/>
  <c r="L61" i="159" s="1"/>
  <c r="O61" i="159" s="1"/>
  <c r="R61" i="159" s="1"/>
  <c r="U61" i="159" s="1"/>
  <c r="X61" i="159" s="1"/>
  <c r="AA61" i="159" s="1"/>
  <c r="AD61" i="159" s="1"/>
  <c r="AG61" i="159" s="1"/>
  <c r="AJ61" i="159" s="1"/>
  <c r="AM61" i="159" s="1"/>
  <c r="AP61" i="159" s="1"/>
  <c r="AS61" i="159" s="1"/>
  <c r="AV61" i="159" s="1"/>
  <c r="AY61" i="159" s="1"/>
  <c r="BB61" i="159" s="1"/>
  <c r="BE61" i="159" s="1"/>
  <c r="BH61" i="159" s="1"/>
  <c r="BK61" i="159" s="1"/>
  <c r="BN61" i="159" s="1"/>
  <c r="BQ61" i="159" s="1"/>
  <c r="BT61" i="159" s="1"/>
  <c r="BW61" i="159" s="1"/>
  <c r="BZ61" i="159" s="1"/>
  <c r="CC61" i="159" s="1"/>
  <c r="CF61" i="159" s="1"/>
  <c r="CI61" i="159" s="1"/>
  <c r="CL61" i="159" s="1"/>
  <c r="CO61" i="159" s="1"/>
  <c r="CR61" i="159" s="1"/>
  <c r="CU61" i="159" s="1"/>
  <c r="CW60" i="159"/>
  <c r="CV59" i="159"/>
  <c r="CV58" i="159"/>
  <c r="CW58" i="159"/>
  <c r="I58" i="159"/>
  <c r="L58" i="159" s="1"/>
  <c r="O58" i="159" s="1"/>
  <c r="R58" i="159" s="1"/>
  <c r="U58" i="159" s="1"/>
  <c r="X58" i="159" s="1"/>
  <c r="AA58" i="159" s="1"/>
  <c r="AD58" i="159" s="1"/>
  <c r="AG58" i="159" s="1"/>
  <c r="AJ58" i="159" s="1"/>
  <c r="AM58" i="159" s="1"/>
  <c r="AP58" i="159" s="1"/>
  <c r="AS58" i="159" s="1"/>
  <c r="AV58" i="159" s="1"/>
  <c r="AY58" i="159" s="1"/>
  <c r="BB58" i="159" s="1"/>
  <c r="BE58" i="159" s="1"/>
  <c r="BH58" i="159" s="1"/>
  <c r="BK58" i="159" s="1"/>
  <c r="BN58" i="159" s="1"/>
  <c r="BQ58" i="159" s="1"/>
  <c r="BT58" i="159" s="1"/>
  <c r="BW58" i="159" s="1"/>
  <c r="BZ58" i="159" s="1"/>
  <c r="CC58" i="159" s="1"/>
  <c r="CF58" i="159" s="1"/>
  <c r="CI58" i="159" s="1"/>
  <c r="CL58" i="159" s="1"/>
  <c r="CO58" i="159" s="1"/>
  <c r="CR58" i="159" s="1"/>
  <c r="CU58" i="159" s="1"/>
  <c r="CW57" i="159"/>
  <c r="CV57" i="159"/>
  <c r="I57" i="159"/>
  <c r="L57" i="159" s="1"/>
  <c r="O57" i="159" s="1"/>
  <c r="R57" i="159" s="1"/>
  <c r="U57" i="159" s="1"/>
  <c r="X57" i="159" s="1"/>
  <c r="AA57" i="159" s="1"/>
  <c r="AD57" i="159" s="1"/>
  <c r="AG57" i="159" s="1"/>
  <c r="AJ57" i="159" s="1"/>
  <c r="AM57" i="159" s="1"/>
  <c r="AP57" i="159" s="1"/>
  <c r="AS57" i="159" s="1"/>
  <c r="AV57" i="159" s="1"/>
  <c r="AY57" i="159" s="1"/>
  <c r="BB57" i="159" s="1"/>
  <c r="BE57" i="159" s="1"/>
  <c r="BH57" i="159" s="1"/>
  <c r="BK57" i="159" s="1"/>
  <c r="BN57" i="159" s="1"/>
  <c r="BQ57" i="159" s="1"/>
  <c r="BT57" i="159" s="1"/>
  <c r="BW57" i="159" s="1"/>
  <c r="BZ57" i="159" s="1"/>
  <c r="CC57" i="159" s="1"/>
  <c r="CF57" i="159" s="1"/>
  <c r="CI57" i="159" s="1"/>
  <c r="CL57" i="159" s="1"/>
  <c r="CO57" i="159" s="1"/>
  <c r="CR57" i="159" s="1"/>
  <c r="CU57" i="159" s="1"/>
  <c r="CW56" i="159"/>
  <c r="CV56" i="159"/>
  <c r="I56" i="159"/>
  <c r="L56" i="159" s="1"/>
  <c r="O56" i="159" s="1"/>
  <c r="R56" i="159" s="1"/>
  <c r="U56" i="159" s="1"/>
  <c r="X56" i="159" s="1"/>
  <c r="AA56" i="159" s="1"/>
  <c r="AD56" i="159" s="1"/>
  <c r="AG56" i="159" s="1"/>
  <c r="AJ56" i="159" s="1"/>
  <c r="AM56" i="159" s="1"/>
  <c r="AP56" i="159" s="1"/>
  <c r="AS56" i="159" s="1"/>
  <c r="AV56" i="159" s="1"/>
  <c r="AY56" i="159" s="1"/>
  <c r="BB56" i="159" s="1"/>
  <c r="BE56" i="159" s="1"/>
  <c r="BH56" i="159" s="1"/>
  <c r="BK56" i="159" s="1"/>
  <c r="BN56" i="159" s="1"/>
  <c r="BQ56" i="159" s="1"/>
  <c r="BT56" i="159" s="1"/>
  <c r="BW56" i="159" s="1"/>
  <c r="BZ56" i="159" s="1"/>
  <c r="CC56" i="159" s="1"/>
  <c r="CF56" i="159" s="1"/>
  <c r="CI56" i="159" s="1"/>
  <c r="CL56" i="159" s="1"/>
  <c r="CO56" i="159" s="1"/>
  <c r="CR56" i="159" s="1"/>
  <c r="CU56" i="159" s="1"/>
  <c r="CW55" i="159"/>
  <c r="CV55" i="159"/>
  <c r="I55" i="159"/>
  <c r="L55" i="159" s="1"/>
  <c r="O55" i="159" s="1"/>
  <c r="R55" i="159" s="1"/>
  <c r="U55" i="159" s="1"/>
  <c r="X55" i="159" s="1"/>
  <c r="AA55" i="159" s="1"/>
  <c r="AD55" i="159" s="1"/>
  <c r="AG55" i="159" s="1"/>
  <c r="AJ55" i="159" s="1"/>
  <c r="AM55" i="159" s="1"/>
  <c r="AP55" i="159" s="1"/>
  <c r="AS55" i="159" s="1"/>
  <c r="AV55" i="159" s="1"/>
  <c r="AY55" i="159" s="1"/>
  <c r="BB55" i="159" s="1"/>
  <c r="BE55" i="159" s="1"/>
  <c r="BH55" i="159" s="1"/>
  <c r="BK55" i="159" s="1"/>
  <c r="BN55" i="159" s="1"/>
  <c r="BQ55" i="159" s="1"/>
  <c r="BT55" i="159" s="1"/>
  <c r="BW55" i="159" s="1"/>
  <c r="BZ55" i="159" s="1"/>
  <c r="CC55" i="159" s="1"/>
  <c r="CF55" i="159" s="1"/>
  <c r="CI55" i="159" s="1"/>
  <c r="CL55" i="159" s="1"/>
  <c r="CO55" i="159" s="1"/>
  <c r="CR55" i="159" s="1"/>
  <c r="CU55" i="159" s="1"/>
  <c r="CW54" i="159"/>
  <c r="CV54" i="159"/>
  <c r="I54" i="159"/>
  <c r="L54" i="159" s="1"/>
  <c r="O54" i="159" s="1"/>
  <c r="R54" i="159" s="1"/>
  <c r="U54" i="159" s="1"/>
  <c r="X54" i="159" s="1"/>
  <c r="AA54" i="159" s="1"/>
  <c r="AD54" i="159" s="1"/>
  <c r="AG54" i="159" s="1"/>
  <c r="AJ54" i="159" s="1"/>
  <c r="AM54" i="159" s="1"/>
  <c r="AP54" i="159" s="1"/>
  <c r="AS54" i="159" s="1"/>
  <c r="AV54" i="159" s="1"/>
  <c r="AY54" i="159" s="1"/>
  <c r="BB54" i="159" s="1"/>
  <c r="BE54" i="159" s="1"/>
  <c r="BH54" i="159" s="1"/>
  <c r="BK54" i="159" s="1"/>
  <c r="BN54" i="159" s="1"/>
  <c r="BQ54" i="159" s="1"/>
  <c r="BT54" i="159" s="1"/>
  <c r="BW54" i="159" s="1"/>
  <c r="BZ54" i="159" s="1"/>
  <c r="CC54" i="159" s="1"/>
  <c r="CF54" i="159" s="1"/>
  <c r="CI54" i="159" s="1"/>
  <c r="CL54" i="159" s="1"/>
  <c r="CO54" i="159" s="1"/>
  <c r="CR54" i="159" s="1"/>
  <c r="CU54" i="159" s="1"/>
  <c r="CW53" i="159"/>
  <c r="CV53" i="159"/>
  <c r="I53" i="159"/>
  <c r="L53" i="159" s="1"/>
  <c r="O53" i="159" s="1"/>
  <c r="R53" i="159" s="1"/>
  <c r="U53" i="159" s="1"/>
  <c r="X53" i="159" s="1"/>
  <c r="AA53" i="159" s="1"/>
  <c r="AD53" i="159" s="1"/>
  <c r="AG53" i="159" s="1"/>
  <c r="AJ53" i="159" s="1"/>
  <c r="AM53" i="159" s="1"/>
  <c r="AP53" i="159" s="1"/>
  <c r="AS53" i="159" s="1"/>
  <c r="AV53" i="159" s="1"/>
  <c r="AY53" i="159" s="1"/>
  <c r="BB53" i="159" s="1"/>
  <c r="BE53" i="159" s="1"/>
  <c r="BH53" i="159" s="1"/>
  <c r="BK53" i="159" s="1"/>
  <c r="BN53" i="159" s="1"/>
  <c r="BQ53" i="159" s="1"/>
  <c r="BT53" i="159" s="1"/>
  <c r="BW53" i="159" s="1"/>
  <c r="BZ53" i="159" s="1"/>
  <c r="CC53" i="159" s="1"/>
  <c r="CF53" i="159" s="1"/>
  <c r="CI53" i="159" s="1"/>
  <c r="CL53" i="159" s="1"/>
  <c r="CO53" i="159" s="1"/>
  <c r="CR53" i="159" s="1"/>
  <c r="CU53" i="159" s="1"/>
  <c r="CW52" i="159"/>
  <c r="CV52" i="159"/>
  <c r="I52" i="159"/>
  <c r="L52" i="159" s="1"/>
  <c r="O52" i="159" s="1"/>
  <c r="R52" i="159" s="1"/>
  <c r="U52" i="159" s="1"/>
  <c r="X52" i="159" s="1"/>
  <c r="AA52" i="159" s="1"/>
  <c r="AD52" i="159" s="1"/>
  <c r="AG52" i="159" s="1"/>
  <c r="AJ52" i="159" s="1"/>
  <c r="AM52" i="159" s="1"/>
  <c r="AP52" i="159" s="1"/>
  <c r="AS52" i="159" s="1"/>
  <c r="AV52" i="159" s="1"/>
  <c r="AY52" i="159" s="1"/>
  <c r="BB52" i="159" s="1"/>
  <c r="BE52" i="159" s="1"/>
  <c r="BH52" i="159" s="1"/>
  <c r="BK52" i="159" s="1"/>
  <c r="BN52" i="159" s="1"/>
  <c r="BQ52" i="159" s="1"/>
  <c r="BT52" i="159" s="1"/>
  <c r="BW52" i="159" s="1"/>
  <c r="BZ52" i="159" s="1"/>
  <c r="CC52" i="159" s="1"/>
  <c r="CF52" i="159" s="1"/>
  <c r="CI52" i="159" s="1"/>
  <c r="CL52" i="159" s="1"/>
  <c r="CO52" i="159" s="1"/>
  <c r="CR52" i="159" s="1"/>
  <c r="CU52" i="159" s="1"/>
  <c r="CW51" i="159"/>
  <c r="CV51" i="159"/>
  <c r="I51" i="159"/>
  <c r="L51" i="159" s="1"/>
  <c r="O51" i="159" s="1"/>
  <c r="R51" i="159" s="1"/>
  <c r="U51" i="159" s="1"/>
  <c r="X51" i="159" s="1"/>
  <c r="AA51" i="159" s="1"/>
  <c r="AD51" i="159" s="1"/>
  <c r="AG51" i="159" s="1"/>
  <c r="AJ51" i="159" s="1"/>
  <c r="AM51" i="159" s="1"/>
  <c r="AP51" i="159" s="1"/>
  <c r="AS51" i="159" s="1"/>
  <c r="AV51" i="159" s="1"/>
  <c r="AY51" i="159" s="1"/>
  <c r="BB51" i="159" s="1"/>
  <c r="BE51" i="159" s="1"/>
  <c r="BH51" i="159" s="1"/>
  <c r="BK51" i="159" s="1"/>
  <c r="BN51" i="159" s="1"/>
  <c r="BQ51" i="159" s="1"/>
  <c r="BT51" i="159" s="1"/>
  <c r="BW51" i="159" s="1"/>
  <c r="BZ51" i="159" s="1"/>
  <c r="CC51" i="159" s="1"/>
  <c r="CF51" i="159" s="1"/>
  <c r="CI51" i="159" s="1"/>
  <c r="CL51" i="159" s="1"/>
  <c r="CO51" i="159" s="1"/>
  <c r="CR51" i="159" s="1"/>
  <c r="CU51" i="159" s="1"/>
  <c r="CW50" i="159"/>
  <c r="CW49" i="159"/>
  <c r="CV49" i="159"/>
  <c r="I49" i="159"/>
  <c r="L49" i="159" s="1"/>
  <c r="O49" i="159" s="1"/>
  <c r="R49" i="159" s="1"/>
  <c r="U49" i="159" s="1"/>
  <c r="X49" i="159" s="1"/>
  <c r="AA49" i="159" s="1"/>
  <c r="AD49" i="159" s="1"/>
  <c r="AG49" i="159" s="1"/>
  <c r="AJ49" i="159" s="1"/>
  <c r="AM49" i="159" s="1"/>
  <c r="AP49" i="159" s="1"/>
  <c r="AS49" i="159" s="1"/>
  <c r="AV49" i="159" s="1"/>
  <c r="AY49" i="159" s="1"/>
  <c r="BB49" i="159" s="1"/>
  <c r="BE49" i="159" s="1"/>
  <c r="BH49" i="159" s="1"/>
  <c r="BK49" i="159" s="1"/>
  <c r="BN49" i="159" s="1"/>
  <c r="BQ49" i="159" s="1"/>
  <c r="BT49" i="159" s="1"/>
  <c r="BW49" i="159" s="1"/>
  <c r="BZ49" i="159" s="1"/>
  <c r="CC49" i="159" s="1"/>
  <c r="CF49" i="159" s="1"/>
  <c r="CI49" i="159" s="1"/>
  <c r="CL49" i="159" s="1"/>
  <c r="CO49" i="159" s="1"/>
  <c r="CR49" i="159" s="1"/>
  <c r="CU49" i="159" s="1"/>
  <c r="CV48" i="159"/>
  <c r="CW47" i="159"/>
  <c r="CV47" i="159"/>
  <c r="I47" i="159"/>
  <c r="L47" i="159" s="1"/>
  <c r="O47" i="159" s="1"/>
  <c r="R47" i="159" s="1"/>
  <c r="U47" i="159" s="1"/>
  <c r="X47" i="159" s="1"/>
  <c r="AA47" i="159" s="1"/>
  <c r="AD47" i="159" s="1"/>
  <c r="AG47" i="159" s="1"/>
  <c r="AJ47" i="159" s="1"/>
  <c r="AM47" i="159" s="1"/>
  <c r="AP47" i="159" s="1"/>
  <c r="AS47" i="159" s="1"/>
  <c r="AV47" i="159" s="1"/>
  <c r="AY47" i="159" s="1"/>
  <c r="BB47" i="159" s="1"/>
  <c r="BE47" i="159" s="1"/>
  <c r="BH47" i="159" s="1"/>
  <c r="BK47" i="159" s="1"/>
  <c r="BN47" i="159" s="1"/>
  <c r="BQ47" i="159" s="1"/>
  <c r="BT47" i="159" s="1"/>
  <c r="BW47" i="159" s="1"/>
  <c r="BZ47" i="159" s="1"/>
  <c r="CC47" i="159" s="1"/>
  <c r="CF47" i="159" s="1"/>
  <c r="CI47" i="159" s="1"/>
  <c r="CL47" i="159" s="1"/>
  <c r="CO47" i="159" s="1"/>
  <c r="CR47" i="159" s="1"/>
  <c r="CU47" i="159" s="1"/>
  <c r="CW46" i="159"/>
  <c r="CV46" i="159"/>
  <c r="I46" i="159"/>
  <c r="L46" i="159" s="1"/>
  <c r="O46" i="159" s="1"/>
  <c r="R46" i="159" s="1"/>
  <c r="U46" i="159" s="1"/>
  <c r="X46" i="159" s="1"/>
  <c r="AA46" i="159" s="1"/>
  <c r="AD46" i="159" s="1"/>
  <c r="AG46" i="159" s="1"/>
  <c r="AJ46" i="159" s="1"/>
  <c r="AM46" i="159" s="1"/>
  <c r="AP46" i="159" s="1"/>
  <c r="AS46" i="159" s="1"/>
  <c r="AV46" i="159" s="1"/>
  <c r="AY46" i="159" s="1"/>
  <c r="BB46" i="159" s="1"/>
  <c r="BE46" i="159" s="1"/>
  <c r="BH46" i="159" s="1"/>
  <c r="BK46" i="159" s="1"/>
  <c r="BN46" i="159" s="1"/>
  <c r="BQ46" i="159" s="1"/>
  <c r="BT46" i="159" s="1"/>
  <c r="BW46" i="159" s="1"/>
  <c r="BZ46" i="159" s="1"/>
  <c r="CC46" i="159" s="1"/>
  <c r="CF46" i="159" s="1"/>
  <c r="CI46" i="159" s="1"/>
  <c r="CL46" i="159" s="1"/>
  <c r="CO46" i="159" s="1"/>
  <c r="CR46" i="159" s="1"/>
  <c r="CU46" i="159" s="1"/>
  <c r="CV45" i="159"/>
  <c r="CW44" i="159"/>
  <c r="CV44" i="159"/>
  <c r="I44" i="159"/>
  <c r="L44" i="159" s="1"/>
  <c r="O44" i="159" s="1"/>
  <c r="R44" i="159" s="1"/>
  <c r="U44" i="159" s="1"/>
  <c r="X44" i="159" s="1"/>
  <c r="AA44" i="159" s="1"/>
  <c r="AD44" i="159" s="1"/>
  <c r="AG44" i="159" s="1"/>
  <c r="AJ44" i="159" s="1"/>
  <c r="AM44" i="159" s="1"/>
  <c r="AP44" i="159" s="1"/>
  <c r="AS44" i="159" s="1"/>
  <c r="AV44" i="159" s="1"/>
  <c r="AY44" i="159" s="1"/>
  <c r="BB44" i="159" s="1"/>
  <c r="BE44" i="159" s="1"/>
  <c r="BH44" i="159" s="1"/>
  <c r="BK44" i="159" s="1"/>
  <c r="BN44" i="159" s="1"/>
  <c r="BQ44" i="159" s="1"/>
  <c r="BT44" i="159" s="1"/>
  <c r="BW44" i="159" s="1"/>
  <c r="BZ44" i="159" s="1"/>
  <c r="CC44" i="159" s="1"/>
  <c r="CF44" i="159" s="1"/>
  <c r="CI44" i="159" s="1"/>
  <c r="CL44" i="159" s="1"/>
  <c r="CO44" i="159" s="1"/>
  <c r="CR44" i="159" s="1"/>
  <c r="CU44" i="159" s="1"/>
  <c r="CV43" i="159"/>
  <c r="CW43" i="159"/>
  <c r="I43" i="159"/>
  <c r="L43" i="159" s="1"/>
  <c r="O43" i="159" s="1"/>
  <c r="R43" i="159" s="1"/>
  <c r="U43" i="159" s="1"/>
  <c r="X43" i="159" s="1"/>
  <c r="AA43" i="159" s="1"/>
  <c r="AD43" i="159" s="1"/>
  <c r="AG43" i="159" s="1"/>
  <c r="AJ43" i="159" s="1"/>
  <c r="AM43" i="159" s="1"/>
  <c r="AP43" i="159" s="1"/>
  <c r="AS43" i="159" s="1"/>
  <c r="AV43" i="159" s="1"/>
  <c r="AY43" i="159" s="1"/>
  <c r="BB43" i="159" s="1"/>
  <c r="BE43" i="159" s="1"/>
  <c r="BH43" i="159" s="1"/>
  <c r="BK43" i="159" s="1"/>
  <c r="BN43" i="159" s="1"/>
  <c r="BQ43" i="159" s="1"/>
  <c r="BT43" i="159" s="1"/>
  <c r="BW43" i="159" s="1"/>
  <c r="BZ43" i="159" s="1"/>
  <c r="CC43" i="159" s="1"/>
  <c r="CF43" i="159" s="1"/>
  <c r="CI43" i="159" s="1"/>
  <c r="CL43" i="159" s="1"/>
  <c r="CO43" i="159" s="1"/>
  <c r="CR43" i="159" s="1"/>
  <c r="CU43" i="159" s="1"/>
  <c r="CW42" i="159"/>
  <c r="CV42" i="159"/>
  <c r="I42" i="159"/>
  <c r="L42" i="159" s="1"/>
  <c r="O42" i="159" s="1"/>
  <c r="R42" i="159" s="1"/>
  <c r="U42" i="159" s="1"/>
  <c r="X42" i="159" s="1"/>
  <c r="AA42" i="159" s="1"/>
  <c r="AD42" i="159" s="1"/>
  <c r="AG42" i="159" s="1"/>
  <c r="AJ42" i="159" s="1"/>
  <c r="AM42" i="159" s="1"/>
  <c r="AP42" i="159" s="1"/>
  <c r="AS42" i="159" s="1"/>
  <c r="AV42" i="159" s="1"/>
  <c r="AY42" i="159" s="1"/>
  <c r="BB42" i="159" s="1"/>
  <c r="BE42" i="159" s="1"/>
  <c r="BH42" i="159" s="1"/>
  <c r="BK42" i="159" s="1"/>
  <c r="BN42" i="159" s="1"/>
  <c r="BQ42" i="159" s="1"/>
  <c r="BT42" i="159" s="1"/>
  <c r="BW42" i="159" s="1"/>
  <c r="BZ42" i="159" s="1"/>
  <c r="CC42" i="159" s="1"/>
  <c r="CF42" i="159" s="1"/>
  <c r="CI42" i="159" s="1"/>
  <c r="CL42" i="159" s="1"/>
  <c r="CO42" i="159" s="1"/>
  <c r="CR42" i="159" s="1"/>
  <c r="CU42" i="159" s="1"/>
  <c r="CW41" i="159"/>
  <c r="CV41" i="159"/>
  <c r="I41" i="159"/>
  <c r="L41" i="159" s="1"/>
  <c r="O41" i="159" s="1"/>
  <c r="R41" i="159" s="1"/>
  <c r="U41" i="159" s="1"/>
  <c r="X41" i="159" s="1"/>
  <c r="AA41" i="159" s="1"/>
  <c r="AD41" i="159" s="1"/>
  <c r="AG41" i="159" s="1"/>
  <c r="AJ41" i="159" s="1"/>
  <c r="AM41" i="159" s="1"/>
  <c r="AP41" i="159" s="1"/>
  <c r="AS41" i="159" s="1"/>
  <c r="AV41" i="159" s="1"/>
  <c r="AY41" i="159" s="1"/>
  <c r="BB41" i="159" s="1"/>
  <c r="BE41" i="159" s="1"/>
  <c r="BH41" i="159" s="1"/>
  <c r="BK41" i="159" s="1"/>
  <c r="BN41" i="159" s="1"/>
  <c r="BQ41" i="159" s="1"/>
  <c r="BT41" i="159" s="1"/>
  <c r="BW41" i="159" s="1"/>
  <c r="BZ41" i="159" s="1"/>
  <c r="CC41" i="159" s="1"/>
  <c r="CF41" i="159" s="1"/>
  <c r="CI41" i="159" s="1"/>
  <c r="CL41" i="159" s="1"/>
  <c r="CO41" i="159" s="1"/>
  <c r="CR41" i="159" s="1"/>
  <c r="CU41" i="159" s="1"/>
  <c r="CV40" i="159"/>
  <c r="CW38" i="159"/>
  <c r="CV38" i="159"/>
  <c r="I38" i="159"/>
  <c r="L38" i="159" s="1"/>
  <c r="O38" i="159" s="1"/>
  <c r="R38" i="159" s="1"/>
  <c r="U38" i="159" s="1"/>
  <c r="X38" i="159" s="1"/>
  <c r="AA38" i="159" s="1"/>
  <c r="AD38" i="159" s="1"/>
  <c r="AG38" i="159" s="1"/>
  <c r="AJ38" i="159" s="1"/>
  <c r="AM38" i="159" s="1"/>
  <c r="AP38" i="159" s="1"/>
  <c r="AS38" i="159" s="1"/>
  <c r="AV38" i="159" s="1"/>
  <c r="AY38" i="159" s="1"/>
  <c r="BB38" i="159" s="1"/>
  <c r="BE38" i="159" s="1"/>
  <c r="BH38" i="159" s="1"/>
  <c r="BK38" i="159" s="1"/>
  <c r="BN38" i="159" s="1"/>
  <c r="BQ38" i="159" s="1"/>
  <c r="BT38" i="159" s="1"/>
  <c r="BW38" i="159" s="1"/>
  <c r="BZ38" i="159" s="1"/>
  <c r="CC38" i="159" s="1"/>
  <c r="CF38" i="159" s="1"/>
  <c r="CI38" i="159" s="1"/>
  <c r="CL38" i="159" s="1"/>
  <c r="CO38" i="159" s="1"/>
  <c r="CR38" i="159" s="1"/>
  <c r="CU38" i="159" s="1"/>
  <c r="CW37" i="159"/>
  <c r="CV37" i="159"/>
  <c r="I37" i="159"/>
  <c r="L37" i="159" s="1"/>
  <c r="O37" i="159" s="1"/>
  <c r="R37" i="159" s="1"/>
  <c r="U37" i="159" s="1"/>
  <c r="X37" i="159" s="1"/>
  <c r="AA37" i="159" s="1"/>
  <c r="AD37" i="159" s="1"/>
  <c r="AG37" i="159" s="1"/>
  <c r="AJ37" i="159" s="1"/>
  <c r="AM37" i="159" s="1"/>
  <c r="AP37" i="159" s="1"/>
  <c r="AS37" i="159" s="1"/>
  <c r="AV37" i="159" s="1"/>
  <c r="AY37" i="159" s="1"/>
  <c r="BB37" i="159" s="1"/>
  <c r="BE37" i="159" s="1"/>
  <c r="BH37" i="159" s="1"/>
  <c r="BK37" i="159" s="1"/>
  <c r="BN37" i="159" s="1"/>
  <c r="BQ37" i="159" s="1"/>
  <c r="BT37" i="159" s="1"/>
  <c r="BW37" i="159" s="1"/>
  <c r="BZ37" i="159" s="1"/>
  <c r="CC37" i="159" s="1"/>
  <c r="CF37" i="159" s="1"/>
  <c r="CI37" i="159" s="1"/>
  <c r="CL37" i="159" s="1"/>
  <c r="CO37" i="159" s="1"/>
  <c r="CR37" i="159" s="1"/>
  <c r="CU37" i="159" s="1"/>
  <c r="CW35" i="159"/>
  <c r="CV35" i="159"/>
  <c r="I35" i="159"/>
  <c r="L35" i="159" s="1"/>
  <c r="O35" i="159" s="1"/>
  <c r="R35" i="159" s="1"/>
  <c r="U35" i="159" s="1"/>
  <c r="X35" i="159" s="1"/>
  <c r="AA35" i="159" s="1"/>
  <c r="AD35" i="159" s="1"/>
  <c r="AG35" i="159" s="1"/>
  <c r="AJ35" i="159" s="1"/>
  <c r="AM35" i="159" s="1"/>
  <c r="AP35" i="159" s="1"/>
  <c r="AS35" i="159" s="1"/>
  <c r="AV35" i="159" s="1"/>
  <c r="AY35" i="159" s="1"/>
  <c r="BB35" i="159" s="1"/>
  <c r="BE35" i="159" s="1"/>
  <c r="BH35" i="159" s="1"/>
  <c r="BK35" i="159" s="1"/>
  <c r="BN35" i="159" s="1"/>
  <c r="BQ35" i="159" s="1"/>
  <c r="BT35" i="159" s="1"/>
  <c r="BW35" i="159" s="1"/>
  <c r="BZ35" i="159" s="1"/>
  <c r="CC35" i="159" s="1"/>
  <c r="CF35" i="159" s="1"/>
  <c r="CI35" i="159" s="1"/>
  <c r="CL35" i="159" s="1"/>
  <c r="CO35" i="159" s="1"/>
  <c r="CR35" i="159" s="1"/>
  <c r="CU35" i="159" s="1"/>
  <c r="CW34" i="159"/>
  <c r="CV34" i="159"/>
  <c r="I34" i="159"/>
  <c r="L34" i="159" s="1"/>
  <c r="O34" i="159" s="1"/>
  <c r="R34" i="159" s="1"/>
  <c r="U34" i="159" s="1"/>
  <c r="X34" i="159" s="1"/>
  <c r="AA34" i="159" s="1"/>
  <c r="AD34" i="159" s="1"/>
  <c r="AG34" i="159" s="1"/>
  <c r="AJ34" i="159" s="1"/>
  <c r="AM34" i="159" s="1"/>
  <c r="AP34" i="159" s="1"/>
  <c r="AS34" i="159" s="1"/>
  <c r="AV34" i="159" s="1"/>
  <c r="AY34" i="159" s="1"/>
  <c r="BB34" i="159" s="1"/>
  <c r="BE34" i="159" s="1"/>
  <c r="BH34" i="159" s="1"/>
  <c r="BK34" i="159" s="1"/>
  <c r="BN34" i="159" s="1"/>
  <c r="BQ34" i="159" s="1"/>
  <c r="BT34" i="159" s="1"/>
  <c r="BW34" i="159" s="1"/>
  <c r="BZ34" i="159" s="1"/>
  <c r="CC34" i="159" s="1"/>
  <c r="CF34" i="159" s="1"/>
  <c r="CI34" i="159" s="1"/>
  <c r="CL34" i="159" s="1"/>
  <c r="CO34" i="159" s="1"/>
  <c r="CR34" i="159" s="1"/>
  <c r="CU34" i="159" s="1"/>
  <c r="CW33" i="159"/>
  <c r="CV33" i="159"/>
  <c r="I33" i="159"/>
  <c r="L33" i="159" s="1"/>
  <c r="O33" i="159" s="1"/>
  <c r="R33" i="159" s="1"/>
  <c r="U33" i="159" s="1"/>
  <c r="X33" i="159" s="1"/>
  <c r="AA33" i="159" s="1"/>
  <c r="AD33" i="159" s="1"/>
  <c r="AG33" i="159" s="1"/>
  <c r="AJ33" i="159" s="1"/>
  <c r="AM33" i="159" s="1"/>
  <c r="AP33" i="159" s="1"/>
  <c r="AS33" i="159" s="1"/>
  <c r="AV33" i="159" s="1"/>
  <c r="AY33" i="159" s="1"/>
  <c r="BB33" i="159" s="1"/>
  <c r="BE33" i="159" s="1"/>
  <c r="BH33" i="159" s="1"/>
  <c r="BK33" i="159" s="1"/>
  <c r="BN33" i="159" s="1"/>
  <c r="BQ33" i="159" s="1"/>
  <c r="BT33" i="159" s="1"/>
  <c r="BW33" i="159" s="1"/>
  <c r="BZ33" i="159" s="1"/>
  <c r="CC33" i="159" s="1"/>
  <c r="CF33" i="159" s="1"/>
  <c r="CI33" i="159" s="1"/>
  <c r="CL33" i="159" s="1"/>
  <c r="CO33" i="159" s="1"/>
  <c r="CR33" i="159" s="1"/>
  <c r="CU33" i="159" s="1"/>
  <c r="CW32" i="159"/>
  <c r="CV32" i="159"/>
  <c r="I32" i="159"/>
  <c r="L32" i="159" s="1"/>
  <c r="O32" i="159" s="1"/>
  <c r="R32" i="159" s="1"/>
  <c r="U32" i="159" s="1"/>
  <c r="X32" i="159" s="1"/>
  <c r="AA32" i="159" s="1"/>
  <c r="AD32" i="159" s="1"/>
  <c r="AG32" i="159" s="1"/>
  <c r="AJ32" i="159" s="1"/>
  <c r="AM32" i="159" s="1"/>
  <c r="AP32" i="159" s="1"/>
  <c r="AS32" i="159" s="1"/>
  <c r="AV32" i="159" s="1"/>
  <c r="AY32" i="159" s="1"/>
  <c r="BB32" i="159" s="1"/>
  <c r="BE32" i="159" s="1"/>
  <c r="BH32" i="159" s="1"/>
  <c r="BK32" i="159" s="1"/>
  <c r="BN32" i="159" s="1"/>
  <c r="BQ32" i="159" s="1"/>
  <c r="BT32" i="159" s="1"/>
  <c r="BW32" i="159" s="1"/>
  <c r="BZ32" i="159" s="1"/>
  <c r="CC32" i="159" s="1"/>
  <c r="CF32" i="159" s="1"/>
  <c r="CI32" i="159" s="1"/>
  <c r="CL32" i="159" s="1"/>
  <c r="CO32" i="159" s="1"/>
  <c r="CR32" i="159" s="1"/>
  <c r="CU32" i="159" s="1"/>
  <c r="CW31" i="159"/>
  <c r="CV31" i="159"/>
  <c r="I31" i="159"/>
  <c r="L31" i="159" s="1"/>
  <c r="O31" i="159" s="1"/>
  <c r="R31" i="159" s="1"/>
  <c r="U31" i="159" s="1"/>
  <c r="X31" i="159" s="1"/>
  <c r="AA31" i="159" s="1"/>
  <c r="AD31" i="159" s="1"/>
  <c r="AG31" i="159" s="1"/>
  <c r="AJ31" i="159" s="1"/>
  <c r="AM31" i="159" s="1"/>
  <c r="AP31" i="159" s="1"/>
  <c r="AS31" i="159" s="1"/>
  <c r="AV31" i="159" s="1"/>
  <c r="AY31" i="159" s="1"/>
  <c r="BB31" i="159" s="1"/>
  <c r="BE31" i="159" s="1"/>
  <c r="BH31" i="159" s="1"/>
  <c r="BK31" i="159" s="1"/>
  <c r="BN31" i="159" s="1"/>
  <c r="BQ31" i="159" s="1"/>
  <c r="BT31" i="159" s="1"/>
  <c r="BW31" i="159" s="1"/>
  <c r="BZ31" i="159" s="1"/>
  <c r="CC31" i="159" s="1"/>
  <c r="CF31" i="159" s="1"/>
  <c r="CI31" i="159" s="1"/>
  <c r="CL31" i="159" s="1"/>
  <c r="CO31" i="159" s="1"/>
  <c r="CR31" i="159" s="1"/>
  <c r="CU31" i="159" s="1"/>
  <c r="CW30" i="159"/>
  <c r="CV30" i="159"/>
  <c r="I30" i="159"/>
  <c r="L30" i="159" s="1"/>
  <c r="O30" i="159" s="1"/>
  <c r="R30" i="159" s="1"/>
  <c r="U30" i="159" s="1"/>
  <c r="X30" i="159" s="1"/>
  <c r="AA30" i="159" s="1"/>
  <c r="AD30" i="159" s="1"/>
  <c r="AG30" i="159" s="1"/>
  <c r="AJ30" i="159" s="1"/>
  <c r="AM30" i="159" s="1"/>
  <c r="AP30" i="159" s="1"/>
  <c r="AS30" i="159" s="1"/>
  <c r="AV30" i="159" s="1"/>
  <c r="AY30" i="159" s="1"/>
  <c r="BB30" i="159" s="1"/>
  <c r="BE30" i="159" s="1"/>
  <c r="BH30" i="159" s="1"/>
  <c r="BK30" i="159" s="1"/>
  <c r="BN30" i="159" s="1"/>
  <c r="BQ30" i="159" s="1"/>
  <c r="BT30" i="159" s="1"/>
  <c r="BW30" i="159" s="1"/>
  <c r="BZ30" i="159" s="1"/>
  <c r="CC30" i="159" s="1"/>
  <c r="CF30" i="159" s="1"/>
  <c r="CI30" i="159" s="1"/>
  <c r="CL30" i="159" s="1"/>
  <c r="CO30" i="159" s="1"/>
  <c r="CR30" i="159" s="1"/>
  <c r="CU30" i="159" s="1"/>
  <c r="CV28" i="159"/>
  <c r="CV27" i="159"/>
  <c r="CW26" i="159"/>
  <c r="CV26" i="159"/>
  <c r="I26" i="159"/>
  <c r="L26" i="159" s="1"/>
  <c r="O26" i="159" s="1"/>
  <c r="R26" i="159" s="1"/>
  <c r="U26" i="159" s="1"/>
  <c r="X26" i="159" s="1"/>
  <c r="AA26" i="159" s="1"/>
  <c r="AD26" i="159" s="1"/>
  <c r="AG26" i="159" s="1"/>
  <c r="AJ26" i="159" s="1"/>
  <c r="AM26" i="159" s="1"/>
  <c r="AP26" i="159" s="1"/>
  <c r="AS26" i="159" s="1"/>
  <c r="AV26" i="159" s="1"/>
  <c r="AY26" i="159" s="1"/>
  <c r="BB26" i="159" s="1"/>
  <c r="BE26" i="159" s="1"/>
  <c r="BH26" i="159" s="1"/>
  <c r="BK26" i="159" s="1"/>
  <c r="BN26" i="159" s="1"/>
  <c r="BQ26" i="159" s="1"/>
  <c r="BT26" i="159" s="1"/>
  <c r="BW26" i="159" s="1"/>
  <c r="BZ26" i="159" s="1"/>
  <c r="CC26" i="159" s="1"/>
  <c r="CF26" i="159" s="1"/>
  <c r="CI26" i="159" s="1"/>
  <c r="CL26" i="159" s="1"/>
  <c r="CO26" i="159" s="1"/>
  <c r="CR26" i="159" s="1"/>
  <c r="CU26" i="159" s="1"/>
  <c r="CV25" i="159"/>
  <c r="CV24" i="159"/>
  <c r="I24" i="159"/>
  <c r="L24" i="159" s="1"/>
  <c r="O24" i="159" s="1"/>
  <c r="R24" i="159" s="1"/>
  <c r="U24" i="159" s="1"/>
  <c r="X24" i="159" s="1"/>
  <c r="AA24" i="159" s="1"/>
  <c r="AD24" i="159" s="1"/>
  <c r="AG24" i="159" s="1"/>
  <c r="AJ24" i="159" s="1"/>
  <c r="AM24" i="159" s="1"/>
  <c r="AP24" i="159" s="1"/>
  <c r="AS24" i="159" s="1"/>
  <c r="AV24" i="159" s="1"/>
  <c r="AY24" i="159" s="1"/>
  <c r="BB24" i="159" s="1"/>
  <c r="BE24" i="159" s="1"/>
  <c r="BH24" i="159" s="1"/>
  <c r="BK24" i="159" s="1"/>
  <c r="BN24" i="159" s="1"/>
  <c r="BQ24" i="159" s="1"/>
  <c r="BT24" i="159" s="1"/>
  <c r="BW24" i="159" s="1"/>
  <c r="BZ24" i="159" s="1"/>
  <c r="CC24" i="159" s="1"/>
  <c r="CF24" i="159" s="1"/>
  <c r="CI24" i="159" s="1"/>
  <c r="CL24" i="159" s="1"/>
  <c r="CO24" i="159" s="1"/>
  <c r="CR24" i="159" s="1"/>
  <c r="CU24" i="159" s="1"/>
  <c r="CV22" i="159"/>
  <c r="CW21" i="159"/>
  <c r="CV21" i="159"/>
  <c r="I21" i="159"/>
  <c r="L21" i="159" s="1"/>
  <c r="O21" i="159" s="1"/>
  <c r="R21" i="159" s="1"/>
  <c r="U21" i="159" s="1"/>
  <c r="X21" i="159" s="1"/>
  <c r="AA21" i="159" s="1"/>
  <c r="AD21" i="159" s="1"/>
  <c r="AG21" i="159" s="1"/>
  <c r="AJ21" i="159" s="1"/>
  <c r="AM21" i="159" s="1"/>
  <c r="AP21" i="159" s="1"/>
  <c r="AS21" i="159" s="1"/>
  <c r="AV21" i="159" s="1"/>
  <c r="AY21" i="159" s="1"/>
  <c r="BB21" i="159" s="1"/>
  <c r="BE21" i="159" s="1"/>
  <c r="BH21" i="159" s="1"/>
  <c r="BK21" i="159" s="1"/>
  <c r="BN21" i="159" s="1"/>
  <c r="BQ21" i="159" s="1"/>
  <c r="BT21" i="159" s="1"/>
  <c r="BW21" i="159" s="1"/>
  <c r="BZ21" i="159" s="1"/>
  <c r="CC21" i="159" s="1"/>
  <c r="CF21" i="159" s="1"/>
  <c r="CI21" i="159" s="1"/>
  <c r="CL21" i="159" s="1"/>
  <c r="CO21" i="159" s="1"/>
  <c r="CR21" i="159" s="1"/>
  <c r="CU21" i="159" s="1"/>
  <c r="CW20" i="159"/>
  <c r="CV20" i="159"/>
  <c r="I20" i="159"/>
  <c r="L20" i="159" s="1"/>
  <c r="O20" i="159" s="1"/>
  <c r="R20" i="159" s="1"/>
  <c r="U20" i="159" s="1"/>
  <c r="X20" i="159" s="1"/>
  <c r="AA20" i="159" s="1"/>
  <c r="AD20" i="159" s="1"/>
  <c r="AG20" i="159" s="1"/>
  <c r="AJ20" i="159" s="1"/>
  <c r="AM20" i="159" s="1"/>
  <c r="AP20" i="159" s="1"/>
  <c r="AS20" i="159" s="1"/>
  <c r="AV20" i="159" s="1"/>
  <c r="AY20" i="159" s="1"/>
  <c r="BB20" i="159" s="1"/>
  <c r="BE20" i="159" s="1"/>
  <c r="BH20" i="159" s="1"/>
  <c r="BK20" i="159" s="1"/>
  <c r="BN20" i="159" s="1"/>
  <c r="BQ20" i="159" s="1"/>
  <c r="BT20" i="159" s="1"/>
  <c r="BW20" i="159" s="1"/>
  <c r="BZ20" i="159" s="1"/>
  <c r="CC20" i="159" s="1"/>
  <c r="CF20" i="159" s="1"/>
  <c r="CI20" i="159" s="1"/>
  <c r="CL20" i="159" s="1"/>
  <c r="CO20" i="159" s="1"/>
  <c r="CR20" i="159" s="1"/>
  <c r="CU20" i="159" s="1"/>
  <c r="CV19" i="159"/>
  <c r="I19" i="159"/>
  <c r="L19" i="159" s="1"/>
  <c r="O19" i="159" s="1"/>
  <c r="R19" i="159" s="1"/>
  <c r="U19" i="159" s="1"/>
  <c r="X19" i="159" s="1"/>
  <c r="AA19" i="159" s="1"/>
  <c r="AD19" i="159" s="1"/>
  <c r="AG19" i="159" s="1"/>
  <c r="CV18" i="159"/>
  <c r="CV16" i="159"/>
  <c r="CV15" i="159"/>
  <c r="CV14" i="159"/>
  <c r="CV13" i="159"/>
  <c r="CW11" i="159"/>
  <c r="CV11" i="159"/>
  <c r="I11" i="159"/>
  <c r="L11" i="159" s="1"/>
  <c r="O11" i="159" s="1"/>
  <c r="R11" i="159" s="1"/>
  <c r="U11" i="159" s="1"/>
  <c r="X11" i="159" s="1"/>
  <c r="AA11" i="159" s="1"/>
  <c r="AD11" i="159" s="1"/>
  <c r="AG11" i="159" s="1"/>
  <c r="AJ11" i="159" s="1"/>
  <c r="AM11" i="159" s="1"/>
  <c r="AP11" i="159" s="1"/>
  <c r="AS11" i="159" s="1"/>
  <c r="AV11" i="159" s="1"/>
  <c r="AY11" i="159" s="1"/>
  <c r="BB11" i="159" s="1"/>
  <c r="BE11" i="159" s="1"/>
  <c r="BH11" i="159" s="1"/>
  <c r="BK11" i="159" s="1"/>
  <c r="BN11" i="159" s="1"/>
  <c r="BQ11" i="159" s="1"/>
  <c r="BT11" i="159" s="1"/>
  <c r="BW11" i="159" s="1"/>
  <c r="BZ11" i="159" s="1"/>
  <c r="CC11" i="159" s="1"/>
  <c r="CF11" i="159" s="1"/>
  <c r="CI11" i="159" s="1"/>
  <c r="CL11" i="159" s="1"/>
  <c r="CO11" i="159" s="1"/>
  <c r="CR11" i="159" s="1"/>
  <c r="CU11" i="159" s="1"/>
  <c r="CW10" i="159"/>
  <c r="CV10" i="159"/>
  <c r="I10" i="159"/>
  <c r="L10" i="159" s="1"/>
  <c r="O10" i="159" s="1"/>
  <c r="R10" i="159" s="1"/>
  <c r="U10" i="159" s="1"/>
  <c r="X10" i="159" s="1"/>
  <c r="AA10" i="159" s="1"/>
  <c r="AD10" i="159" s="1"/>
  <c r="AG10" i="159" s="1"/>
  <c r="AJ10" i="159" s="1"/>
  <c r="AM10" i="159" s="1"/>
  <c r="AP10" i="159" s="1"/>
  <c r="AS10" i="159" s="1"/>
  <c r="AV10" i="159" s="1"/>
  <c r="AY10" i="159" s="1"/>
  <c r="BB10" i="159" s="1"/>
  <c r="BE10" i="159" s="1"/>
  <c r="BH10" i="159" s="1"/>
  <c r="BK10" i="159" s="1"/>
  <c r="BN10" i="159" s="1"/>
  <c r="BQ10" i="159" s="1"/>
  <c r="BT10" i="159" s="1"/>
  <c r="BW10" i="159" s="1"/>
  <c r="BZ10" i="159" s="1"/>
  <c r="CC10" i="159" s="1"/>
  <c r="CF10" i="159" s="1"/>
  <c r="CI10" i="159" s="1"/>
  <c r="CL10" i="159" s="1"/>
  <c r="CO10" i="159" s="1"/>
  <c r="CR10" i="159" s="1"/>
  <c r="CU10" i="159" s="1"/>
  <c r="CW9" i="159"/>
  <c r="CV9" i="159"/>
  <c r="I9" i="159"/>
  <c r="L9" i="159" s="1"/>
  <c r="O9" i="159" s="1"/>
  <c r="R9" i="159" s="1"/>
  <c r="U9" i="159" s="1"/>
  <c r="X9" i="159" s="1"/>
  <c r="AA9" i="159" s="1"/>
  <c r="AD9" i="159" s="1"/>
  <c r="AG9" i="159" s="1"/>
  <c r="AJ9" i="159" s="1"/>
  <c r="AM9" i="159" s="1"/>
  <c r="AP9" i="159" s="1"/>
  <c r="AS9" i="159" s="1"/>
  <c r="AV9" i="159" s="1"/>
  <c r="AY9" i="159" s="1"/>
  <c r="BB9" i="159" s="1"/>
  <c r="BE9" i="159" s="1"/>
  <c r="BH9" i="159" s="1"/>
  <c r="BK9" i="159" s="1"/>
  <c r="BN9" i="159" s="1"/>
  <c r="BQ9" i="159" s="1"/>
  <c r="BT9" i="159" s="1"/>
  <c r="BW9" i="159" s="1"/>
  <c r="BZ9" i="159" s="1"/>
  <c r="CC9" i="159" s="1"/>
  <c r="CF9" i="159" s="1"/>
  <c r="CI9" i="159" s="1"/>
  <c r="CL9" i="159" s="1"/>
  <c r="CO9" i="159" s="1"/>
  <c r="CR9" i="159" s="1"/>
  <c r="CU9" i="159" s="1"/>
  <c r="CW8" i="159"/>
  <c r="CV8" i="159"/>
  <c r="I8" i="159"/>
  <c r="L8" i="159" s="1"/>
  <c r="O8" i="159" s="1"/>
  <c r="CW7" i="159"/>
  <c r="CV7" i="159"/>
  <c r="I7" i="159"/>
  <c r="L7" i="159" s="1"/>
  <c r="O7" i="159" s="1"/>
  <c r="R7" i="159" s="1"/>
  <c r="U7" i="159" s="1"/>
  <c r="X7" i="159" s="1"/>
  <c r="AA7" i="159" s="1"/>
  <c r="AD7" i="159" s="1"/>
  <c r="AG7" i="159" s="1"/>
  <c r="AJ7" i="159" s="1"/>
  <c r="AM7" i="159" s="1"/>
  <c r="AP7" i="159" s="1"/>
  <c r="AS7" i="159" s="1"/>
  <c r="AV7" i="159" s="1"/>
  <c r="AY7" i="159" s="1"/>
  <c r="BB7" i="159" s="1"/>
  <c r="BE7" i="159" s="1"/>
  <c r="BH7" i="159" s="1"/>
  <c r="BK7" i="159" s="1"/>
  <c r="BN7" i="159" s="1"/>
  <c r="BQ7" i="159" s="1"/>
  <c r="BT7" i="159" s="1"/>
  <c r="BW7" i="159" s="1"/>
  <c r="BZ7" i="159" s="1"/>
  <c r="CC7" i="159" s="1"/>
  <c r="CF7" i="159" s="1"/>
  <c r="CI7" i="159" s="1"/>
  <c r="CL7" i="159" s="1"/>
  <c r="CO7" i="159" s="1"/>
  <c r="CR7" i="159" s="1"/>
  <c r="CU7" i="159" s="1"/>
  <c r="CV6" i="159"/>
  <c r="CW5" i="159"/>
  <c r="CV5" i="159"/>
  <c r="I5" i="159"/>
  <c r="L5" i="159" s="1"/>
  <c r="O5" i="159" s="1"/>
  <c r="R5" i="159" s="1"/>
  <c r="U5" i="159" s="1"/>
  <c r="X5" i="159" s="1"/>
  <c r="AA5" i="159" s="1"/>
  <c r="AD5" i="159" s="1"/>
  <c r="AG5" i="159" s="1"/>
  <c r="AJ5" i="159" s="1"/>
  <c r="AM5" i="159" s="1"/>
  <c r="AP5" i="159" s="1"/>
  <c r="AS5" i="159" s="1"/>
  <c r="AV5" i="159" s="1"/>
  <c r="AY5" i="159" s="1"/>
  <c r="BB5" i="159" s="1"/>
  <c r="BE5" i="159" s="1"/>
  <c r="BH5" i="159" s="1"/>
  <c r="BK5" i="159" s="1"/>
  <c r="BN5" i="159" s="1"/>
  <c r="BQ5" i="159" s="1"/>
  <c r="BT5" i="159" s="1"/>
  <c r="BW5" i="159" s="1"/>
  <c r="BZ5" i="159" s="1"/>
  <c r="CC5" i="159" s="1"/>
  <c r="CF5" i="159" s="1"/>
  <c r="CI5" i="159" s="1"/>
  <c r="CL5" i="159" s="1"/>
  <c r="CO5" i="159" s="1"/>
  <c r="CR5" i="159" s="1"/>
  <c r="CU5" i="159" s="1"/>
  <c r="CJ76" i="158"/>
  <c r="CJ67" i="158"/>
  <c r="CJ36" i="158"/>
  <c r="CK83" i="158"/>
  <c r="CK76" i="158"/>
  <c r="CK63" i="158"/>
  <c r="CK59" i="158"/>
  <c r="CK17" i="158"/>
  <c r="CK29" i="158"/>
  <c r="CK39" i="158"/>
  <c r="CK60" i="158"/>
  <c r="CK14" i="158"/>
  <c r="CN27" i="158"/>
  <c r="CK27" i="158"/>
  <c r="CG29" i="158"/>
  <c r="CK77" i="158"/>
  <c r="CK43" i="158"/>
  <c r="CK13" i="158"/>
  <c r="CK15" i="158"/>
  <c r="CK40" i="158"/>
  <c r="CK22" i="158"/>
  <c r="CK71" i="158"/>
  <c r="CH71" i="158"/>
  <c r="CH27" i="158"/>
  <c r="CH15" i="158"/>
  <c r="CK58" i="158"/>
  <c r="CK16" i="158"/>
  <c r="CK80" i="158"/>
  <c r="CK48" i="158"/>
  <c r="CK25" i="158"/>
  <c r="CK18" i="158"/>
  <c r="CK6" i="158"/>
  <c r="CW13" i="159" l="1"/>
  <c r="I18" i="159"/>
  <c r="L18" i="159" s="1"/>
  <c r="O18" i="159" s="1"/>
  <c r="R18" i="159" s="1"/>
  <c r="U18" i="159" s="1"/>
  <c r="X18" i="159" s="1"/>
  <c r="AA18" i="159" s="1"/>
  <c r="AD18" i="159" s="1"/>
  <c r="AG18" i="159" s="1"/>
  <c r="AJ18" i="159" s="1"/>
  <c r="AM18" i="159" s="1"/>
  <c r="AP18" i="159" s="1"/>
  <c r="AS18" i="159" s="1"/>
  <c r="AV18" i="159" s="1"/>
  <c r="AY18" i="159" s="1"/>
  <c r="BB18" i="159" s="1"/>
  <c r="BE18" i="159" s="1"/>
  <c r="BH18" i="159" s="1"/>
  <c r="BK18" i="159" s="1"/>
  <c r="BN18" i="159" s="1"/>
  <c r="BQ18" i="159" s="1"/>
  <c r="BT18" i="159" s="1"/>
  <c r="BW18" i="159" s="1"/>
  <c r="BZ18" i="159" s="1"/>
  <c r="CC18" i="159" s="1"/>
  <c r="CF18" i="159" s="1"/>
  <c r="CI18" i="159" s="1"/>
  <c r="CL18" i="159" s="1"/>
  <c r="CO18" i="159" s="1"/>
  <c r="CR18" i="159" s="1"/>
  <c r="CU18" i="159" s="1"/>
  <c r="CX18" i="159" s="1"/>
  <c r="CZ18" i="159" s="1"/>
  <c r="I39" i="159"/>
  <c r="L39" i="159" s="1"/>
  <c r="O39" i="159" s="1"/>
  <c r="R39" i="159" s="1"/>
  <c r="U39" i="159" s="1"/>
  <c r="X39" i="159" s="1"/>
  <c r="AA39" i="159" s="1"/>
  <c r="AD39" i="159" s="1"/>
  <c r="AG39" i="159" s="1"/>
  <c r="AJ39" i="159" s="1"/>
  <c r="AM39" i="159" s="1"/>
  <c r="AP39" i="159" s="1"/>
  <c r="AS39" i="159" s="1"/>
  <c r="AV39" i="159" s="1"/>
  <c r="AY39" i="159" s="1"/>
  <c r="BB39" i="159" s="1"/>
  <c r="BE39" i="159" s="1"/>
  <c r="BH39" i="159" s="1"/>
  <c r="BK39" i="159" s="1"/>
  <c r="BN39" i="159" s="1"/>
  <c r="BQ39" i="159" s="1"/>
  <c r="BT39" i="159" s="1"/>
  <c r="BW39" i="159" s="1"/>
  <c r="BZ39" i="159" s="1"/>
  <c r="CC39" i="159" s="1"/>
  <c r="CF39" i="159" s="1"/>
  <c r="CI39" i="159" s="1"/>
  <c r="CL39" i="159" s="1"/>
  <c r="CO39" i="159" s="1"/>
  <c r="CR39" i="159" s="1"/>
  <c r="CU39" i="159" s="1"/>
  <c r="I15" i="159"/>
  <c r="L15" i="159" s="1"/>
  <c r="O15" i="159" s="1"/>
  <c r="R15" i="159" s="1"/>
  <c r="U15" i="159" s="1"/>
  <c r="X15" i="159" s="1"/>
  <c r="AA15" i="159" s="1"/>
  <c r="AD15" i="159" s="1"/>
  <c r="AG15" i="159" s="1"/>
  <c r="AJ15" i="159" s="1"/>
  <c r="AM15" i="159" s="1"/>
  <c r="AP15" i="159" s="1"/>
  <c r="AS15" i="159" s="1"/>
  <c r="AV15" i="159" s="1"/>
  <c r="AY15" i="159" s="1"/>
  <c r="BB15" i="159" s="1"/>
  <c r="BE15" i="159" s="1"/>
  <c r="BH15" i="159" s="1"/>
  <c r="BK15" i="159" s="1"/>
  <c r="BN15" i="159" s="1"/>
  <c r="BQ15" i="159" s="1"/>
  <c r="BT15" i="159" s="1"/>
  <c r="BW15" i="159" s="1"/>
  <c r="BZ15" i="159" s="1"/>
  <c r="CC15" i="159" s="1"/>
  <c r="CF15" i="159" s="1"/>
  <c r="CI15" i="159" s="1"/>
  <c r="CL15" i="159" s="1"/>
  <c r="CO15" i="159" s="1"/>
  <c r="CR15" i="159" s="1"/>
  <c r="CU15" i="159" s="1"/>
  <c r="CX15" i="159" s="1"/>
  <c r="CZ15" i="159" s="1"/>
  <c r="CW28" i="159"/>
  <c r="O67" i="159"/>
  <c r="R67" i="159" s="1"/>
  <c r="U67" i="159" s="1"/>
  <c r="X67" i="159" s="1"/>
  <c r="AA67" i="159" s="1"/>
  <c r="AD67" i="159" s="1"/>
  <c r="AG67" i="159" s="1"/>
  <c r="AJ67" i="159" s="1"/>
  <c r="AM67" i="159" s="1"/>
  <c r="AP67" i="159" s="1"/>
  <c r="AS67" i="159" s="1"/>
  <c r="AV67" i="159" s="1"/>
  <c r="AY67" i="159" s="1"/>
  <c r="BB67" i="159" s="1"/>
  <c r="BE67" i="159" s="1"/>
  <c r="BH67" i="159" s="1"/>
  <c r="BK67" i="159" s="1"/>
  <c r="BN67" i="159" s="1"/>
  <c r="BQ67" i="159" s="1"/>
  <c r="BT67" i="159" s="1"/>
  <c r="BW67" i="159" s="1"/>
  <c r="BZ67" i="159" s="1"/>
  <c r="CC67" i="159" s="1"/>
  <c r="CF67" i="159" s="1"/>
  <c r="CI67" i="159" s="1"/>
  <c r="CL67" i="159" s="1"/>
  <c r="CO67" i="159" s="1"/>
  <c r="CR67" i="159" s="1"/>
  <c r="CU67" i="159" s="1"/>
  <c r="CX67" i="159" s="1"/>
  <c r="CZ67" i="159" s="1"/>
  <c r="I6" i="159"/>
  <c r="L6" i="159" s="1"/>
  <c r="O6" i="159" s="1"/>
  <c r="R6" i="159" s="1"/>
  <c r="U6" i="159" s="1"/>
  <c r="X6" i="159" s="1"/>
  <c r="AA6" i="159" s="1"/>
  <c r="AD6" i="159" s="1"/>
  <c r="AG6" i="159" s="1"/>
  <c r="AJ6" i="159" s="1"/>
  <c r="AM6" i="159" s="1"/>
  <c r="AP6" i="159" s="1"/>
  <c r="AS6" i="159" s="1"/>
  <c r="AV6" i="159" s="1"/>
  <c r="AY6" i="159" s="1"/>
  <c r="BB6" i="159" s="1"/>
  <c r="BE6" i="159" s="1"/>
  <c r="BH6" i="159" s="1"/>
  <c r="BK6" i="159" s="1"/>
  <c r="BN6" i="159" s="1"/>
  <c r="BQ6" i="159" s="1"/>
  <c r="BT6" i="159" s="1"/>
  <c r="BW6" i="159" s="1"/>
  <c r="BZ6" i="159" s="1"/>
  <c r="CC6" i="159" s="1"/>
  <c r="CF6" i="159" s="1"/>
  <c r="CI6" i="159" s="1"/>
  <c r="CL6" i="159" s="1"/>
  <c r="CO6" i="159" s="1"/>
  <c r="CR6" i="159" s="1"/>
  <c r="CU6" i="159" s="1"/>
  <c r="CX6" i="159" s="1"/>
  <c r="CZ6" i="159" s="1"/>
  <c r="I77" i="159"/>
  <c r="L77" i="159" s="1"/>
  <c r="O77" i="159" s="1"/>
  <c r="R77" i="159" s="1"/>
  <c r="U77" i="159" s="1"/>
  <c r="X77" i="159" s="1"/>
  <c r="AA77" i="159" s="1"/>
  <c r="AD77" i="159" s="1"/>
  <c r="AG77" i="159" s="1"/>
  <c r="AJ77" i="159" s="1"/>
  <c r="AM77" i="159" s="1"/>
  <c r="AP77" i="159" s="1"/>
  <c r="AS77" i="159" s="1"/>
  <c r="AV77" i="159" s="1"/>
  <c r="AY77" i="159" s="1"/>
  <c r="BB77" i="159" s="1"/>
  <c r="BE77" i="159" s="1"/>
  <c r="BH77" i="159" s="1"/>
  <c r="BK77" i="159" s="1"/>
  <c r="BN77" i="159" s="1"/>
  <c r="BQ77" i="159" s="1"/>
  <c r="BT77" i="159" s="1"/>
  <c r="BW77" i="159" s="1"/>
  <c r="BZ77" i="159" s="1"/>
  <c r="CC77" i="159" s="1"/>
  <c r="CF77" i="159" s="1"/>
  <c r="CI77" i="159" s="1"/>
  <c r="CL77" i="159" s="1"/>
  <c r="CO77" i="159" s="1"/>
  <c r="CR77" i="159" s="1"/>
  <c r="CU77" i="159" s="1"/>
  <c r="DB77" i="159" s="1"/>
  <c r="DE77" i="159" s="1"/>
  <c r="I63" i="159"/>
  <c r="L63" i="159" s="1"/>
  <c r="O63" i="159" s="1"/>
  <c r="R63" i="159" s="1"/>
  <c r="U63" i="159" s="1"/>
  <c r="X63" i="159" s="1"/>
  <c r="AA63" i="159" s="1"/>
  <c r="AD63" i="159" s="1"/>
  <c r="AG63" i="159" s="1"/>
  <c r="AJ63" i="159" s="1"/>
  <c r="AM63" i="159" s="1"/>
  <c r="AP63" i="159" s="1"/>
  <c r="AS63" i="159" s="1"/>
  <c r="AV63" i="159" s="1"/>
  <c r="AY63" i="159" s="1"/>
  <c r="BB63" i="159" s="1"/>
  <c r="BE63" i="159" s="1"/>
  <c r="BH63" i="159" s="1"/>
  <c r="BK63" i="159" s="1"/>
  <c r="BN63" i="159" s="1"/>
  <c r="BQ63" i="159" s="1"/>
  <c r="BT63" i="159" s="1"/>
  <c r="BW63" i="159" s="1"/>
  <c r="BZ63" i="159" s="1"/>
  <c r="CC63" i="159" s="1"/>
  <c r="CF63" i="159" s="1"/>
  <c r="CI63" i="159" s="1"/>
  <c r="CL63" i="159" s="1"/>
  <c r="CO63" i="159" s="1"/>
  <c r="CR63" i="159" s="1"/>
  <c r="CU63" i="159" s="1"/>
  <c r="DB63" i="159" s="1"/>
  <c r="DE63" i="159" s="1"/>
  <c r="CW45" i="159"/>
  <c r="L36" i="159"/>
  <c r="O36" i="159" s="1"/>
  <c r="R36" i="159" s="1"/>
  <c r="U36" i="159" s="1"/>
  <c r="X36" i="159" s="1"/>
  <c r="AA36" i="159" s="1"/>
  <c r="AD36" i="159" s="1"/>
  <c r="AG36" i="159" s="1"/>
  <c r="AJ36" i="159" s="1"/>
  <c r="AM36" i="159" s="1"/>
  <c r="AP36" i="159" s="1"/>
  <c r="AS36" i="159" s="1"/>
  <c r="AV36" i="159" s="1"/>
  <c r="AY36" i="159" s="1"/>
  <c r="BB36" i="159" s="1"/>
  <c r="BE36" i="159" s="1"/>
  <c r="BH36" i="159" s="1"/>
  <c r="BK36" i="159" s="1"/>
  <c r="BN36" i="159" s="1"/>
  <c r="BQ36" i="159" s="1"/>
  <c r="BT36" i="159" s="1"/>
  <c r="BW36" i="159" s="1"/>
  <c r="BZ36" i="159" s="1"/>
  <c r="CC36" i="159" s="1"/>
  <c r="CF36" i="159" s="1"/>
  <c r="CI36" i="159" s="1"/>
  <c r="CL36" i="159" s="1"/>
  <c r="CO36" i="159" s="1"/>
  <c r="CR36" i="159" s="1"/>
  <c r="CU36" i="159" s="1"/>
  <c r="L75" i="159"/>
  <c r="O75" i="159" s="1"/>
  <c r="R75" i="159" s="1"/>
  <c r="U75" i="159" s="1"/>
  <c r="X75" i="159" s="1"/>
  <c r="AA75" i="159" s="1"/>
  <c r="AD75" i="159" s="1"/>
  <c r="AG75" i="159" s="1"/>
  <c r="AJ75" i="159" s="1"/>
  <c r="AM75" i="159" s="1"/>
  <c r="AP75" i="159" s="1"/>
  <c r="AS75" i="159" s="1"/>
  <c r="AV75" i="159" s="1"/>
  <c r="AY75" i="159" s="1"/>
  <c r="BB75" i="159" s="1"/>
  <c r="BE75" i="159" s="1"/>
  <c r="BH75" i="159" s="1"/>
  <c r="BK75" i="159" s="1"/>
  <c r="BN75" i="159" s="1"/>
  <c r="BQ75" i="159" s="1"/>
  <c r="BT75" i="159" s="1"/>
  <c r="BW75" i="159" s="1"/>
  <c r="BZ75" i="159" s="1"/>
  <c r="CC75" i="159" s="1"/>
  <c r="CF75" i="159" s="1"/>
  <c r="CI75" i="159" s="1"/>
  <c r="CL75" i="159" s="1"/>
  <c r="CO75" i="159" s="1"/>
  <c r="CR75" i="159" s="1"/>
  <c r="CU75" i="159" s="1"/>
  <c r="CX75" i="159" s="1"/>
  <c r="CZ75" i="159" s="1"/>
  <c r="I27" i="159"/>
  <c r="L27" i="159" s="1"/>
  <c r="O27" i="159" s="1"/>
  <c r="R27" i="159" s="1"/>
  <c r="U27" i="159" s="1"/>
  <c r="X27" i="159" s="1"/>
  <c r="AA27" i="159" s="1"/>
  <c r="AD27" i="159" s="1"/>
  <c r="AG27" i="159" s="1"/>
  <c r="AJ27" i="159" s="1"/>
  <c r="AM27" i="159" s="1"/>
  <c r="AP27" i="159" s="1"/>
  <c r="AS27" i="159" s="1"/>
  <c r="AV27" i="159" s="1"/>
  <c r="AY27" i="159" s="1"/>
  <c r="BB27" i="159" s="1"/>
  <c r="BE27" i="159" s="1"/>
  <c r="BH27" i="159" s="1"/>
  <c r="BK27" i="159" s="1"/>
  <c r="BN27" i="159" s="1"/>
  <c r="BQ27" i="159" s="1"/>
  <c r="BT27" i="159" s="1"/>
  <c r="BW27" i="159" s="1"/>
  <c r="BZ27" i="159" s="1"/>
  <c r="CC27" i="159" s="1"/>
  <c r="CF27" i="159" s="1"/>
  <c r="CI27" i="159" s="1"/>
  <c r="CL27" i="159" s="1"/>
  <c r="CO27" i="159" s="1"/>
  <c r="CR27" i="159" s="1"/>
  <c r="CU27" i="159" s="1"/>
  <c r="DB27" i="159" s="1"/>
  <c r="DE27" i="159" s="1"/>
  <c r="CX82" i="159"/>
  <c r="CZ82" i="159" s="1"/>
  <c r="DB82" i="159"/>
  <c r="DE82" i="159" s="1"/>
  <c r="CX23" i="159"/>
  <c r="CZ23" i="159" s="1"/>
  <c r="DB23" i="159"/>
  <c r="DE23" i="159" s="1"/>
  <c r="DB31" i="159"/>
  <c r="DE31" i="159" s="1"/>
  <c r="CX31" i="159"/>
  <c r="CZ31" i="159" s="1"/>
  <c r="DB9" i="159"/>
  <c r="DE9" i="159" s="1"/>
  <c r="CX9" i="159"/>
  <c r="CZ9" i="159" s="1"/>
  <c r="DB20" i="159"/>
  <c r="DE20" i="159" s="1"/>
  <c r="CX20" i="159"/>
  <c r="CZ20" i="159" s="1"/>
  <c r="DB13" i="159"/>
  <c r="DE13" i="159" s="1"/>
  <c r="CX13" i="159"/>
  <c r="CZ13" i="159" s="1"/>
  <c r="DB5" i="159"/>
  <c r="DE5" i="159" s="1"/>
  <c r="CX5" i="159"/>
  <c r="CZ5" i="159" s="1"/>
  <c r="DB10" i="159"/>
  <c r="DE10" i="159" s="1"/>
  <c r="CX10" i="159"/>
  <c r="CZ10" i="159" s="1"/>
  <c r="DB21" i="159"/>
  <c r="DE21" i="159" s="1"/>
  <c r="CX21" i="159"/>
  <c r="CZ21" i="159" s="1"/>
  <c r="CX11" i="159"/>
  <c r="CZ11" i="159" s="1"/>
  <c r="DB11" i="159"/>
  <c r="DE11" i="159" s="1"/>
  <c r="DB7" i="159"/>
  <c r="DE7" i="159" s="1"/>
  <c r="CX7" i="159"/>
  <c r="CZ7" i="159" s="1"/>
  <c r="DB28" i="159"/>
  <c r="DE28" i="159" s="1"/>
  <c r="CX28" i="159"/>
  <c r="CZ28" i="159" s="1"/>
  <c r="DB12" i="159"/>
  <c r="DE12" i="159" s="1"/>
  <c r="CX12" i="159"/>
  <c r="CZ12" i="159" s="1"/>
  <c r="DB24" i="159"/>
  <c r="DE24" i="159" s="1"/>
  <c r="CX24" i="159"/>
  <c r="CZ24" i="159" s="1"/>
  <c r="DB33" i="159"/>
  <c r="DE33" i="159" s="1"/>
  <c r="CX33" i="159"/>
  <c r="CZ33" i="159" s="1"/>
  <c r="DB41" i="159"/>
  <c r="DE41" i="159" s="1"/>
  <c r="CX41" i="159"/>
  <c r="CZ41" i="159" s="1"/>
  <c r="DB46" i="159"/>
  <c r="DE46" i="159" s="1"/>
  <c r="CX46" i="159"/>
  <c r="CZ46" i="159" s="1"/>
  <c r="DB53" i="159"/>
  <c r="DE53" i="159" s="1"/>
  <c r="CX53" i="159"/>
  <c r="CZ53" i="159" s="1"/>
  <c r="DB37" i="159"/>
  <c r="DE37" i="159" s="1"/>
  <c r="CX37" i="159"/>
  <c r="CZ37" i="159" s="1"/>
  <c r="DB42" i="159"/>
  <c r="DE42" i="159" s="1"/>
  <c r="CX42" i="159"/>
  <c r="CZ42" i="159" s="1"/>
  <c r="DB49" i="159"/>
  <c r="DE49" i="159" s="1"/>
  <c r="CX49" i="159"/>
  <c r="CZ49" i="159" s="1"/>
  <c r="CX38" i="159"/>
  <c r="CZ38" i="159" s="1"/>
  <c r="DB38" i="159"/>
  <c r="DE38" i="159" s="1"/>
  <c r="DB54" i="159"/>
  <c r="DE54" i="159" s="1"/>
  <c r="CX54" i="159"/>
  <c r="CZ54" i="159" s="1"/>
  <c r="DB34" i="159"/>
  <c r="DE34" i="159" s="1"/>
  <c r="CX34" i="159"/>
  <c r="CZ34" i="159" s="1"/>
  <c r="DB47" i="159"/>
  <c r="DE47" i="159" s="1"/>
  <c r="CX47" i="159"/>
  <c r="CZ47" i="159" s="1"/>
  <c r="DB58" i="159"/>
  <c r="DE58" i="159" s="1"/>
  <c r="CX58" i="159"/>
  <c r="CZ58" i="159" s="1"/>
  <c r="DB43" i="159"/>
  <c r="DE43" i="159" s="1"/>
  <c r="CX43" i="159"/>
  <c r="CZ43" i="159" s="1"/>
  <c r="DB44" i="159"/>
  <c r="DE44" i="159" s="1"/>
  <c r="CX44" i="159"/>
  <c r="CZ44" i="159" s="1"/>
  <c r="CX64" i="159"/>
  <c r="CZ64" i="159" s="1"/>
  <c r="DB64" i="159"/>
  <c r="DE64" i="159" s="1"/>
  <c r="DB22" i="159"/>
  <c r="DE22" i="159" s="1"/>
  <c r="CX22" i="159"/>
  <c r="CZ22" i="159" s="1"/>
  <c r="DB35" i="159"/>
  <c r="DE35" i="159" s="1"/>
  <c r="CX35" i="159"/>
  <c r="CZ35" i="159" s="1"/>
  <c r="DB55" i="159"/>
  <c r="DE55" i="159" s="1"/>
  <c r="CX55" i="159"/>
  <c r="CZ55" i="159" s="1"/>
  <c r="DB26" i="159"/>
  <c r="DE26" i="159" s="1"/>
  <c r="CX26" i="159"/>
  <c r="CZ26" i="159" s="1"/>
  <c r="CX30" i="159"/>
  <c r="CZ30" i="159" s="1"/>
  <c r="DB30" i="159"/>
  <c r="DE30" i="159" s="1"/>
  <c r="DB25" i="159"/>
  <c r="DE25" i="159" s="1"/>
  <c r="CX25" i="159"/>
  <c r="CZ25" i="159" s="1"/>
  <c r="DB51" i="159"/>
  <c r="DE51" i="159" s="1"/>
  <c r="CX51" i="159"/>
  <c r="CZ51" i="159" s="1"/>
  <c r="CX32" i="159"/>
  <c r="CZ32" i="159" s="1"/>
  <c r="DB32" i="159"/>
  <c r="DE32" i="159" s="1"/>
  <c r="CX56" i="159"/>
  <c r="CZ56" i="159" s="1"/>
  <c r="DB56" i="159"/>
  <c r="DE56" i="159" s="1"/>
  <c r="AJ19" i="159"/>
  <c r="AM19" i="159" s="1"/>
  <c r="AP19" i="159" s="1"/>
  <c r="AS19" i="159" s="1"/>
  <c r="AV19" i="159" s="1"/>
  <c r="AY19" i="159" s="1"/>
  <c r="BB19" i="159" s="1"/>
  <c r="BE19" i="159" s="1"/>
  <c r="BH19" i="159" s="1"/>
  <c r="BK19" i="159" s="1"/>
  <c r="BN19" i="159" s="1"/>
  <c r="BQ19" i="159" s="1"/>
  <c r="BT19" i="159" s="1"/>
  <c r="BW19" i="159" s="1"/>
  <c r="BZ19" i="159" s="1"/>
  <c r="CC19" i="159" s="1"/>
  <c r="CF19" i="159" s="1"/>
  <c r="CI19" i="159" s="1"/>
  <c r="CL19" i="159" s="1"/>
  <c r="CO19" i="159" s="1"/>
  <c r="CR19" i="159" s="1"/>
  <c r="CU19" i="159" s="1"/>
  <c r="DB45" i="159"/>
  <c r="DE45" i="159" s="1"/>
  <c r="CX45" i="159"/>
  <c r="CZ45" i="159" s="1"/>
  <c r="DB52" i="159"/>
  <c r="DE52" i="159" s="1"/>
  <c r="CX52" i="159"/>
  <c r="CZ52" i="159" s="1"/>
  <c r="I16" i="159"/>
  <c r="L16" i="159" s="1"/>
  <c r="O16" i="159" s="1"/>
  <c r="R16" i="159" s="1"/>
  <c r="U16" i="159" s="1"/>
  <c r="X16" i="159" s="1"/>
  <c r="AA16" i="159" s="1"/>
  <c r="AD16" i="159" s="1"/>
  <c r="AG16" i="159" s="1"/>
  <c r="AJ16" i="159" s="1"/>
  <c r="AM16" i="159" s="1"/>
  <c r="AP16" i="159" s="1"/>
  <c r="AS16" i="159" s="1"/>
  <c r="AV16" i="159" s="1"/>
  <c r="AY16" i="159" s="1"/>
  <c r="BB16" i="159" s="1"/>
  <c r="BE16" i="159" s="1"/>
  <c r="BH16" i="159" s="1"/>
  <c r="BK16" i="159" s="1"/>
  <c r="BN16" i="159" s="1"/>
  <c r="BQ16" i="159" s="1"/>
  <c r="BT16" i="159" s="1"/>
  <c r="BW16" i="159" s="1"/>
  <c r="BZ16" i="159" s="1"/>
  <c r="CC16" i="159" s="1"/>
  <c r="CF16" i="159" s="1"/>
  <c r="CI16" i="159" s="1"/>
  <c r="CL16" i="159" s="1"/>
  <c r="CO16" i="159" s="1"/>
  <c r="CR16" i="159" s="1"/>
  <c r="CU16" i="159" s="1"/>
  <c r="CX69" i="159"/>
  <c r="CZ69" i="159" s="1"/>
  <c r="DB69" i="159"/>
  <c r="DE69" i="159" s="1"/>
  <c r="DB80" i="159"/>
  <c r="DE80" i="159" s="1"/>
  <c r="CX80" i="159"/>
  <c r="CZ80" i="159" s="1"/>
  <c r="DB90" i="159"/>
  <c r="DE90" i="159" s="1"/>
  <c r="CX90" i="159"/>
  <c r="CZ90" i="159" s="1"/>
  <c r="CW12" i="159"/>
  <c r="DB84" i="159"/>
  <c r="DE84" i="159" s="1"/>
  <c r="CX84" i="159"/>
  <c r="CZ84" i="159" s="1"/>
  <c r="DB86" i="159"/>
  <c r="DE86" i="159" s="1"/>
  <c r="CX86" i="159"/>
  <c r="CZ86" i="159" s="1"/>
  <c r="DB91" i="159"/>
  <c r="DE91" i="159" s="1"/>
  <c r="CX91" i="159"/>
  <c r="CZ91" i="159" s="1"/>
  <c r="DB70" i="159"/>
  <c r="DE70" i="159" s="1"/>
  <c r="CX70" i="159"/>
  <c r="CZ70" i="159" s="1"/>
  <c r="CW22" i="159"/>
  <c r="CX72" i="159"/>
  <c r="CZ72" i="159" s="1"/>
  <c r="DB72" i="159"/>
  <c r="DE72" i="159" s="1"/>
  <c r="DB59" i="159"/>
  <c r="DE59" i="159" s="1"/>
  <c r="CX59" i="159"/>
  <c r="CZ59" i="159" s="1"/>
  <c r="DB81" i="159"/>
  <c r="DE81" i="159" s="1"/>
  <c r="CX81" i="159"/>
  <c r="CZ81" i="159" s="1"/>
  <c r="DB87" i="159"/>
  <c r="DE87" i="159" s="1"/>
  <c r="CX87" i="159"/>
  <c r="CZ87" i="159" s="1"/>
  <c r="I14" i="159"/>
  <c r="L14" i="159" s="1"/>
  <c r="O14" i="159" s="1"/>
  <c r="R14" i="159" s="1"/>
  <c r="U14" i="159" s="1"/>
  <c r="X14" i="159" s="1"/>
  <c r="AA14" i="159" s="1"/>
  <c r="AD14" i="159" s="1"/>
  <c r="AG14" i="159" s="1"/>
  <c r="AJ14" i="159" s="1"/>
  <c r="AM14" i="159" s="1"/>
  <c r="AP14" i="159" s="1"/>
  <c r="AS14" i="159" s="1"/>
  <c r="AV14" i="159" s="1"/>
  <c r="AY14" i="159" s="1"/>
  <c r="BB14" i="159" s="1"/>
  <c r="BE14" i="159" s="1"/>
  <c r="BH14" i="159" s="1"/>
  <c r="BK14" i="159" s="1"/>
  <c r="BN14" i="159" s="1"/>
  <c r="BQ14" i="159" s="1"/>
  <c r="BT14" i="159" s="1"/>
  <c r="BW14" i="159" s="1"/>
  <c r="BZ14" i="159" s="1"/>
  <c r="CC14" i="159" s="1"/>
  <c r="CF14" i="159" s="1"/>
  <c r="CI14" i="159" s="1"/>
  <c r="CL14" i="159" s="1"/>
  <c r="CO14" i="159" s="1"/>
  <c r="CR14" i="159" s="1"/>
  <c r="CU14" i="159" s="1"/>
  <c r="CW24" i="159"/>
  <c r="CV39" i="159"/>
  <c r="DB71" i="159"/>
  <c r="DE71" i="159" s="1"/>
  <c r="CX71" i="159"/>
  <c r="CZ71" i="159" s="1"/>
  <c r="CW36" i="159"/>
  <c r="DB61" i="159"/>
  <c r="DE61" i="159" s="1"/>
  <c r="CX61" i="159"/>
  <c r="CZ61" i="159" s="1"/>
  <c r="DB92" i="159"/>
  <c r="DE92" i="159" s="1"/>
  <c r="CX92" i="159"/>
  <c r="CZ92" i="159" s="1"/>
  <c r="CW25" i="159"/>
  <c r="CW23" i="159"/>
  <c r="DB79" i="159"/>
  <c r="DE79" i="159" s="1"/>
  <c r="CX79" i="159"/>
  <c r="CZ79" i="159" s="1"/>
  <c r="DB88" i="159"/>
  <c r="DE88" i="159" s="1"/>
  <c r="CX88" i="159"/>
  <c r="CZ88" i="159" s="1"/>
  <c r="CV50" i="159"/>
  <c r="I50" i="159"/>
  <c r="L50" i="159" s="1"/>
  <c r="O50" i="159" s="1"/>
  <c r="R50" i="159" s="1"/>
  <c r="U50" i="159" s="1"/>
  <c r="X50" i="159" s="1"/>
  <c r="AA50" i="159" s="1"/>
  <c r="AD50" i="159" s="1"/>
  <c r="AG50" i="159" s="1"/>
  <c r="AJ50" i="159" s="1"/>
  <c r="AM50" i="159" s="1"/>
  <c r="AP50" i="159" s="1"/>
  <c r="AS50" i="159" s="1"/>
  <c r="AV50" i="159" s="1"/>
  <c r="AY50" i="159" s="1"/>
  <c r="BB50" i="159" s="1"/>
  <c r="BE50" i="159" s="1"/>
  <c r="BH50" i="159" s="1"/>
  <c r="BK50" i="159" s="1"/>
  <c r="BN50" i="159" s="1"/>
  <c r="BQ50" i="159" s="1"/>
  <c r="BT50" i="159" s="1"/>
  <c r="BW50" i="159" s="1"/>
  <c r="BZ50" i="159" s="1"/>
  <c r="CC50" i="159" s="1"/>
  <c r="CF50" i="159" s="1"/>
  <c r="CI50" i="159" s="1"/>
  <c r="CL50" i="159" s="1"/>
  <c r="CO50" i="159" s="1"/>
  <c r="CR50" i="159" s="1"/>
  <c r="CU50" i="159" s="1"/>
  <c r="DB93" i="159"/>
  <c r="DE93" i="159" s="1"/>
  <c r="CX93" i="159"/>
  <c r="CZ93" i="159" s="1"/>
  <c r="CW48" i="159"/>
  <c r="DB62" i="159"/>
  <c r="DE62" i="159" s="1"/>
  <c r="CX62" i="159"/>
  <c r="CZ62" i="159" s="1"/>
  <c r="DB68" i="159"/>
  <c r="DE68" i="159" s="1"/>
  <c r="CX68" i="159"/>
  <c r="CZ68" i="159" s="1"/>
  <c r="R8" i="159"/>
  <c r="U8" i="159" s="1"/>
  <c r="X8" i="159" s="1"/>
  <c r="AA8" i="159" s="1"/>
  <c r="AD8" i="159" s="1"/>
  <c r="AG8" i="159" s="1"/>
  <c r="AJ8" i="159" s="1"/>
  <c r="AM8" i="159" s="1"/>
  <c r="AP8" i="159" s="1"/>
  <c r="AS8" i="159" s="1"/>
  <c r="AV8" i="159" s="1"/>
  <c r="AY8" i="159" s="1"/>
  <c r="BB8" i="159" s="1"/>
  <c r="BE8" i="159" s="1"/>
  <c r="BH8" i="159" s="1"/>
  <c r="BK8" i="159" s="1"/>
  <c r="BN8" i="159" s="1"/>
  <c r="BQ8" i="159" s="1"/>
  <c r="BT8" i="159" s="1"/>
  <c r="BW8" i="159" s="1"/>
  <c r="BZ8" i="159" s="1"/>
  <c r="CC8" i="159" s="1"/>
  <c r="CF8" i="159" s="1"/>
  <c r="CI8" i="159" s="1"/>
  <c r="CL8" i="159" s="1"/>
  <c r="CO8" i="159" s="1"/>
  <c r="CR8" i="159" s="1"/>
  <c r="CU8" i="159" s="1"/>
  <c r="CW19" i="159"/>
  <c r="CW40" i="159"/>
  <c r="CV12" i="159"/>
  <c r="CV29" i="159"/>
  <c r="R40" i="159"/>
  <c r="U40" i="159" s="1"/>
  <c r="X40" i="159" s="1"/>
  <c r="AA40" i="159" s="1"/>
  <c r="AD40" i="159" s="1"/>
  <c r="AG40" i="159" s="1"/>
  <c r="AJ40" i="159" s="1"/>
  <c r="AM40" i="159" s="1"/>
  <c r="AP40" i="159" s="1"/>
  <c r="AS40" i="159" s="1"/>
  <c r="AV40" i="159" s="1"/>
  <c r="AY40" i="159" s="1"/>
  <c r="BB40" i="159" s="1"/>
  <c r="BE40" i="159" s="1"/>
  <c r="BH40" i="159" s="1"/>
  <c r="BK40" i="159" s="1"/>
  <c r="BN40" i="159" s="1"/>
  <c r="BQ40" i="159" s="1"/>
  <c r="BT40" i="159" s="1"/>
  <c r="BW40" i="159" s="1"/>
  <c r="BZ40" i="159" s="1"/>
  <c r="CC40" i="159" s="1"/>
  <c r="CF40" i="159" s="1"/>
  <c r="CI40" i="159" s="1"/>
  <c r="CL40" i="159" s="1"/>
  <c r="CO40" i="159" s="1"/>
  <c r="CR40" i="159" s="1"/>
  <c r="CU40" i="159" s="1"/>
  <c r="DB57" i="159"/>
  <c r="DE57" i="159" s="1"/>
  <c r="CX57" i="159"/>
  <c r="CZ57" i="159" s="1"/>
  <c r="DB65" i="159"/>
  <c r="DE65" i="159" s="1"/>
  <c r="CX65" i="159"/>
  <c r="CZ65" i="159" s="1"/>
  <c r="DB76" i="159"/>
  <c r="DE76" i="159" s="1"/>
  <c r="CX76" i="159"/>
  <c r="CZ76" i="159" s="1"/>
  <c r="DB83" i="159"/>
  <c r="DE83" i="159" s="1"/>
  <c r="CX83" i="159"/>
  <c r="CZ83" i="159" s="1"/>
  <c r="DB94" i="159"/>
  <c r="DE94" i="159" s="1"/>
  <c r="CX94" i="159"/>
  <c r="CZ94" i="159" s="1"/>
  <c r="DB74" i="159"/>
  <c r="DE74" i="159" s="1"/>
  <c r="CX74" i="159"/>
  <c r="CZ74" i="159" s="1"/>
  <c r="CW16" i="159"/>
  <c r="I17" i="159"/>
  <c r="L17" i="159" s="1"/>
  <c r="O17" i="159" s="1"/>
  <c r="R17" i="159" s="1"/>
  <c r="U17" i="159" s="1"/>
  <c r="X17" i="159" s="1"/>
  <c r="AA17" i="159" s="1"/>
  <c r="AD17" i="159" s="1"/>
  <c r="AG17" i="159" s="1"/>
  <c r="AJ17" i="159" s="1"/>
  <c r="AM17" i="159" s="1"/>
  <c r="AP17" i="159" s="1"/>
  <c r="AS17" i="159" s="1"/>
  <c r="AV17" i="159" s="1"/>
  <c r="AY17" i="159" s="1"/>
  <c r="BB17" i="159" s="1"/>
  <c r="BE17" i="159" s="1"/>
  <c r="BH17" i="159" s="1"/>
  <c r="BK17" i="159" s="1"/>
  <c r="BN17" i="159" s="1"/>
  <c r="BQ17" i="159" s="1"/>
  <c r="BT17" i="159" s="1"/>
  <c r="BW17" i="159" s="1"/>
  <c r="BZ17" i="159" s="1"/>
  <c r="CC17" i="159" s="1"/>
  <c r="CF17" i="159" s="1"/>
  <c r="CI17" i="159" s="1"/>
  <c r="CL17" i="159" s="1"/>
  <c r="CO17" i="159" s="1"/>
  <c r="CR17" i="159" s="1"/>
  <c r="CU17" i="159" s="1"/>
  <c r="DB66" i="159"/>
  <c r="DE66" i="159" s="1"/>
  <c r="CX66" i="159"/>
  <c r="CZ66" i="159" s="1"/>
  <c r="DB85" i="159"/>
  <c r="DE85" i="159" s="1"/>
  <c r="CX85" i="159"/>
  <c r="CZ85" i="159" s="1"/>
  <c r="CW59" i="159"/>
  <c r="I60" i="159"/>
  <c r="L60" i="159" s="1"/>
  <c r="O60" i="159" s="1"/>
  <c r="R60" i="159" s="1"/>
  <c r="U60" i="159" s="1"/>
  <c r="X60" i="159" s="1"/>
  <c r="AA60" i="159" s="1"/>
  <c r="AD60" i="159" s="1"/>
  <c r="AG60" i="159" s="1"/>
  <c r="AJ60" i="159" s="1"/>
  <c r="AM60" i="159" s="1"/>
  <c r="AP60" i="159" s="1"/>
  <c r="AS60" i="159" s="1"/>
  <c r="AV60" i="159" s="1"/>
  <c r="AY60" i="159" s="1"/>
  <c r="BB60" i="159" s="1"/>
  <c r="BE60" i="159" s="1"/>
  <c r="BH60" i="159" s="1"/>
  <c r="BK60" i="159" s="1"/>
  <c r="BN60" i="159" s="1"/>
  <c r="BQ60" i="159" s="1"/>
  <c r="BT60" i="159" s="1"/>
  <c r="BW60" i="159" s="1"/>
  <c r="BZ60" i="159" s="1"/>
  <c r="CC60" i="159" s="1"/>
  <c r="CF60" i="159" s="1"/>
  <c r="CI60" i="159" s="1"/>
  <c r="CL60" i="159" s="1"/>
  <c r="CO60" i="159" s="1"/>
  <c r="CR60" i="159" s="1"/>
  <c r="CU60" i="159" s="1"/>
  <c r="CW75" i="159"/>
  <c r="DB73" i="159"/>
  <c r="DE73" i="159" s="1"/>
  <c r="CX73" i="159"/>
  <c r="CZ73" i="159" s="1"/>
  <c r="CX89" i="159"/>
  <c r="CZ89" i="159" s="1"/>
  <c r="I29" i="159"/>
  <c r="L29" i="159" s="1"/>
  <c r="O29" i="159" s="1"/>
  <c r="R29" i="159" s="1"/>
  <c r="U29" i="159" s="1"/>
  <c r="X29" i="159" s="1"/>
  <c r="AA29" i="159" s="1"/>
  <c r="AD29" i="159" s="1"/>
  <c r="AG29" i="159" s="1"/>
  <c r="AJ29" i="159" s="1"/>
  <c r="AM29" i="159" s="1"/>
  <c r="AP29" i="159" s="1"/>
  <c r="AS29" i="159" s="1"/>
  <c r="AV29" i="159" s="1"/>
  <c r="AY29" i="159" s="1"/>
  <c r="BB29" i="159" s="1"/>
  <c r="BE29" i="159" s="1"/>
  <c r="BH29" i="159" s="1"/>
  <c r="BK29" i="159" s="1"/>
  <c r="BN29" i="159" s="1"/>
  <c r="BQ29" i="159" s="1"/>
  <c r="BT29" i="159" s="1"/>
  <c r="BW29" i="159" s="1"/>
  <c r="BZ29" i="159" s="1"/>
  <c r="CC29" i="159" s="1"/>
  <c r="CF29" i="159" s="1"/>
  <c r="CI29" i="159" s="1"/>
  <c r="CL29" i="159" s="1"/>
  <c r="CO29" i="159" s="1"/>
  <c r="CR29" i="159" s="1"/>
  <c r="CU29" i="159" s="1"/>
  <c r="I48" i="159"/>
  <c r="L48" i="159" s="1"/>
  <c r="O48" i="159" s="1"/>
  <c r="R48" i="159" s="1"/>
  <c r="U48" i="159" s="1"/>
  <c r="X48" i="159" s="1"/>
  <c r="AA48" i="159" s="1"/>
  <c r="AD48" i="159" s="1"/>
  <c r="AG48" i="159" s="1"/>
  <c r="AJ48" i="159" s="1"/>
  <c r="AM48" i="159" s="1"/>
  <c r="AP48" i="159" s="1"/>
  <c r="AS48" i="159" s="1"/>
  <c r="AV48" i="159" s="1"/>
  <c r="AY48" i="159" s="1"/>
  <c r="BB48" i="159" s="1"/>
  <c r="BE48" i="159" s="1"/>
  <c r="BH48" i="159" s="1"/>
  <c r="BK48" i="159" s="1"/>
  <c r="BN48" i="159" s="1"/>
  <c r="BQ48" i="159" s="1"/>
  <c r="BT48" i="159" s="1"/>
  <c r="BW48" i="159" s="1"/>
  <c r="BZ48" i="159" s="1"/>
  <c r="CC48" i="159" s="1"/>
  <c r="CF48" i="159" s="1"/>
  <c r="CI48" i="159" s="1"/>
  <c r="CL48" i="159" s="1"/>
  <c r="CO48" i="159" s="1"/>
  <c r="CR48" i="159" s="1"/>
  <c r="CU48" i="159" s="1"/>
  <c r="CW84" i="159"/>
  <c r="CH63" i="158"/>
  <c r="CG76" i="158"/>
  <c r="CH76" i="158"/>
  <c r="CH59" i="158"/>
  <c r="CH29" i="158"/>
  <c r="CH39" i="158"/>
  <c r="CH12" i="158"/>
  <c r="CH13" i="158"/>
  <c r="CB15" i="158"/>
  <c r="CB13" i="158"/>
  <c r="CH60" i="158"/>
  <c r="CH23" i="158"/>
  <c r="CH14" i="158"/>
  <c r="CH16" i="158"/>
  <c r="CH77" i="158"/>
  <c r="CH40" i="158"/>
  <c r="CH72" i="158"/>
  <c r="CH48" i="158"/>
  <c r="CH43" i="158"/>
  <c r="CH18" i="158"/>
  <c r="CH22" i="158"/>
  <c r="CH25" i="158"/>
  <c r="CE43" i="158"/>
  <c r="CE40" i="158"/>
  <c r="CE25" i="158"/>
  <c r="CE13" i="158"/>
  <c r="CE6" i="158"/>
  <c r="CE58" i="158"/>
  <c r="CE29" i="158"/>
  <c r="CE27" i="158"/>
  <c r="CE23" i="158"/>
  <c r="CE14" i="158"/>
  <c r="CE60" i="158"/>
  <c r="CE22" i="158"/>
  <c r="CE15" i="158"/>
  <c r="CE77" i="158"/>
  <c r="CE18" i="158"/>
  <c r="CB27" i="158"/>
  <c r="CB67" i="158"/>
  <c r="BY63" i="158"/>
  <c r="CB71" i="158"/>
  <c r="CB22" i="158"/>
  <c r="CB25" i="158"/>
  <c r="CA76" i="158"/>
  <c r="CA39" i="158"/>
  <c r="CA36" i="158"/>
  <c r="CA29" i="158"/>
  <c r="CA17" i="158"/>
  <c r="CA12" i="158"/>
  <c r="CB29" i="158"/>
  <c r="CB59" i="158"/>
  <c r="CB39" i="158"/>
  <c r="DB18" i="159" l="1"/>
  <c r="DE18" i="159" s="1"/>
  <c r="DB15" i="159"/>
  <c r="DE15" i="159" s="1"/>
  <c r="CX77" i="159"/>
  <c r="CZ77" i="159" s="1"/>
  <c r="DB67" i="159"/>
  <c r="DE67" i="159" s="1"/>
  <c r="DB6" i="159"/>
  <c r="DE6" i="159" s="1"/>
  <c r="CX63" i="159"/>
  <c r="CZ63" i="159" s="1"/>
  <c r="DB75" i="159"/>
  <c r="DE75" i="159" s="1"/>
  <c r="CX27" i="159"/>
  <c r="CZ27" i="159" s="1"/>
  <c r="CX8" i="159"/>
  <c r="CZ8" i="159" s="1"/>
  <c r="DB8" i="159"/>
  <c r="DE8" i="159" s="1"/>
  <c r="DB48" i="159"/>
  <c r="DE48" i="159" s="1"/>
  <c r="CX48" i="159"/>
  <c r="CZ48" i="159" s="1"/>
  <c r="CX29" i="159"/>
  <c r="CZ29" i="159" s="1"/>
  <c r="DB29" i="159"/>
  <c r="DE29" i="159" s="1"/>
  <c r="DB50" i="159"/>
  <c r="DE50" i="159" s="1"/>
  <c r="CX50" i="159"/>
  <c r="CZ50" i="159" s="1"/>
  <c r="DB36" i="159"/>
  <c r="DE36" i="159" s="1"/>
  <c r="CX36" i="159"/>
  <c r="CZ36" i="159" s="1"/>
  <c r="DB60" i="159"/>
  <c r="DE60" i="159" s="1"/>
  <c r="CX60" i="159"/>
  <c r="CZ60" i="159" s="1"/>
  <c r="DB39" i="159"/>
  <c r="DE39" i="159" s="1"/>
  <c r="CX39" i="159"/>
  <c r="CZ39" i="159" s="1"/>
  <c r="DB14" i="159"/>
  <c r="DE14" i="159" s="1"/>
  <c r="CX14" i="159"/>
  <c r="CZ14" i="159" s="1"/>
  <c r="DB16" i="159"/>
  <c r="DE16" i="159" s="1"/>
  <c r="CX16" i="159"/>
  <c r="CZ16" i="159" s="1"/>
  <c r="CX40" i="159"/>
  <c r="CZ40" i="159" s="1"/>
  <c r="DB40" i="159"/>
  <c r="DE40" i="159" s="1"/>
  <c r="CX17" i="159"/>
  <c r="CZ17" i="159" s="1"/>
  <c r="DB17" i="159"/>
  <c r="DE17" i="159" s="1"/>
  <c r="DB19" i="159"/>
  <c r="DE19" i="159" s="1"/>
  <c r="CX19" i="159"/>
  <c r="CZ19" i="159" s="1"/>
  <c r="CB60" i="158"/>
  <c r="CB16" i="158"/>
  <c r="CB14" i="158"/>
  <c r="CZ95" i="159" l="1"/>
  <c r="CZ96" i="159" s="1"/>
  <c r="CB48" i="158"/>
  <c r="CB47" i="158"/>
  <c r="BY76" i="158"/>
  <c r="BX60" i="158"/>
  <c r="BY84" i="158" l="1"/>
  <c r="BY59" i="158"/>
  <c r="BY17" i="158"/>
  <c r="BY29" i="158"/>
  <c r="BY39" i="158"/>
  <c r="BY12" i="158"/>
  <c r="BR29" i="158"/>
  <c r="BR39" i="158"/>
  <c r="CB77" i="158"/>
  <c r="CB43" i="158"/>
  <c r="CB6" i="158"/>
  <c r="BR76" i="158"/>
  <c r="BR59" i="158"/>
  <c r="BR36" i="158"/>
  <c r="BR17" i="158"/>
  <c r="BS29" i="158"/>
  <c r="BS84" i="158"/>
  <c r="BS76" i="158"/>
  <c r="BS63" i="158"/>
  <c r="BS59" i="158"/>
  <c r="BS17" i="158"/>
  <c r="BS39" i="158"/>
  <c r="BS12" i="158"/>
  <c r="BS15" i="158"/>
  <c r="BO76" i="158"/>
  <c r="BS47" i="158"/>
  <c r="BS25" i="158"/>
  <c r="BS16" i="158"/>
  <c r="BS14" i="158"/>
  <c r="CB40" i="158"/>
  <c r="CB19" i="158"/>
  <c r="CB58" i="158"/>
  <c r="CB68" i="158"/>
  <c r="BS48" i="158"/>
  <c r="BS13" i="158"/>
  <c r="BO36" i="158"/>
  <c r="BO29" i="158"/>
  <c r="BO17" i="158"/>
  <c r="BO12" i="158"/>
  <c r="BP29" i="158"/>
  <c r="BP76" i="158"/>
  <c r="BP63" i="158"/>
  <c r="BP59" i="158"/>
  <c r="BP17" i="158"/>
  <c r="BP39" i="158"/>
  <c r="BP12" i="158"/>
  <c r="BP60" i="158" l="1"/>
  <c r="BP14" i="158"/>
  <c r="BS40" i="158"/>
  <c r="BS18" i="158"/>
  <c r="BS6" i="158"/>
  <c r="BO77" i="158"/>
  <c r="BP77" i="158"/>
  <c r="BP43" i="158"/>
  <c r="BP15" i="158"/>
  <c r="BP19" i="158"/>
  <c r="BP80" i="158"/>
  <c r="BM63" i="158"/>
  <c r="BL76" i="158"/>
  <c r="BP22" i="158"/>
  <c r="BP58" i="158"/>
  <c r="BP48" i="158"/>
  <c r="BP27" i="158"/>
  <c r="BP16" i="158"/>
  <c r="BP40" i="158"/>
  <c r="BP25" i="158"/>
  <c r="BP6" i="158"/>
  <c r="BM14" i="158"/>
  <c r="BL12" i="158"/>
  <c r="BL39" i="158"/>
  <c r="BL67" i="158"/>
  <c r="BL36" i="158"/>
  <c r="BL29" i="158"/>
  <c r="BL17" i="158"/>
  <c r="BM84" i="158"/>
  <c r="BM75" i="158"/>
  <c r="BM59" i="158"/>
  <c r="BM17" i="158"/>
  <c r="BM29" i="158"/>
  <c r="BM39" i="158"/>
  <c r="BM12" i="158"/>
  <c r="BM60" i="158"/>
  <c r="BM25" i="158"/>
  <c r="BM23" i="158"/>
  <c r="BM16" i="158"/>
  <c r="BM71" i="158"/>
  <c r="BM40" i="158"/>
  <c r="BG27" i="158"/>
  <c r="BM27" i="158"/>
  <c r="BM19" i="158"/>
  <c r="BM22" i="158"/>
  <c r="BM58" i="158"/>
  <c r="BM15" i="158"/>
  <c r="BM18" i="158"/>
  <c r="BM77" i="158"/>
  <c r="BM48" i="158"/>
  <c r="BJ43" i="158"/>
  <c r="BJ22" i="158"/>
  <c r="BJ68" i="158"/>
  <c r="BI77" i="158" l="1"/>
  <c r="BM13" i="158"/>
  <c r="BJ77" i="158"/>
  <c r="BJ71" i="158"/>
  <c r="BJ14" i="158"/>
  <c r="BJ60" i="158"/>
  <c r="BJ40" i="158"/>
  <c r="BJ58" i="158"/>
  <c r="BJ27" i="158"/>
  <c r="BJ25" i="158"/>
  <c r="BJ18" i="158"/>
  <c r="BJ15" i="158"/>
  <c r="BJ48" i="158"/>
  <c r="BF29" i="158"/>
  <c r="BF75" i="158"/>
  <c r="BF72" i="158"/>
  <c r="BF67" i="158"/>
  <c r="BF39" i="158"/>
  <c r="BF36" i="158"/>
  <c r="BF17" i="158"/>
  <c r="BF12" i="158"/>
  <c r="BG29" i="158"/>
  <c r="BG75" i="158"/>
  <c r="BG63" i="158"/>
  <c r="BG59" i="158"/>
  <c r="BG39" i="158"/>
  <c r="BG12" i="158"/>
  <c r="BG60" i="158"/>
  <c r="BG16" i="158" l="1"/>
  <c r="BG14" i="158"/>
  <c r="BG25" i="158" l="1"/>
  <c r="BG40" i="158"/>
  <c r="BG77" i="158"/>
  <c r="BG58" i="158"/>
  <c r="BG48" i="158"/>
  <c r="AR15" i="158"/>
  <c r="BG15" i="158"/>
  <c r="BG72" i="158"/>
  <c r="BG13" i="158"/>
  <c r="BG6" i="158"/>
  <c r="BD16" i="158"/>
  <c r="BD63" i="158"/>
  <c r="BD23" i="158"/>
  <c r="BC29" i="158" l="1"/>
  <c r="BC75" i="158"/>
  <c r="BC67" i="158"/>
  <c r="BC36" i="158"/>
  <c r="BC17" i="158"/>
  <c r="BD59" i="158" l="1"/>
  <c r="BD29" i="158"/>
  <c r="BD39" i="158"/>
  <c r="BD77" i="158"/>
  <c r="AX13" i="158"/>
  <c r="AW17" i="158"/>
  <c r="AX36" i="158"/>
  <c r="BD67" i="158"/>
  <c r="BD60" i="158"/>
  <c r="BD14" i="158"/>
  <c r="AX60" i="158"/>
  <c r="AX16" i="158"/>
  <c r="AX39" i="158"/>
  <c r="AX83" i="158"/>
  <c r="AX75" i="158"/>
  <c r="AX63" i="158"/>
  <c r="AX59" i="158"/>
  <c r="AX17" i="158"/>
  <c r="AX29" i="158"/>
  <c r="AX12" i="158"/>
  <c r="AI84" i="158"/>
  <c r="AL84" i="158"/>
  <c r="AW75" i="158"/>
  <c r="AW29" i="158"/>
  <c r="AW23" i="158"/>
  <c r="AW12" i="158"/>
  <c r="AX84" i="158"/>
  <c r="AX15" i="158"/>
  <c r="AX14" i="158"/>
  <c r="BD71" i="158"/>
  <c r="BD13" i="158"/>
  <c r="BD68" i="158"/>
  <c r="BD40" i="158"/>
  <c r="BD27" i="158"/>
  <c r="BD25" i="158"/>
  <c r="BD15" i="158"/>
  <c r="BD58" i="158"/>
  <c r="BD18" i="158"/>
  <c r="BD47" i="158"/>
  <c r="BD24" i="158"/>
  <c r="BD22" i="158"/>
  <c r="AX71" i="158"/>
  <c r="AX47" i="158"/>
  <c r="AX48" i="158"/>
  <c r="AX77" i="158"/>
  <c r="AT17" i="158"/>
  <c r="AU22" i="158"/>
  <c r="AU63" i="158"/>
  <c r="AT75" i="158"/>
  <c r="AT43" i="158"/>
  <c r="AT36" i="158"/>
  <c r="AT29" i="158"/>
  <c r="AU75" i="158"/>
  <c r="AU59" i="158"/>
  <c r="AU29" i="158"/>
  <c r="AU39" i="158"/>
  <c r="AU80" i="158" l="1"/>
  <c r="AU60" i="158"/>
  <c r="AU25" i="158"/>
  <c r="AU14" i="158"/>
  <c r="AX40" i="158"/>
  <c r="AX58" i="158"/>
  <c r="AX27" i="158"/>
  <c r="AX24" i="158"/>
  <c r="AX22" i="158"/>
  <c r="AT77" i="158" l="1"/>
  <c r="AU43" i="158"/>
  <c r="AU16" i="158"/>
  <c r="AU15" i="158"/>
  <c r="AU77" i="158"/>
  <c r="AU48" i="158"/>
  <c r="AU40" i="158"/>
  <c r="AU27" i="158"/>
  <c r="AU13" i="158"/>
  <c r="AU6" i="158"/>
  <c r="AK15" i="158"/>
  <c r="AR75" i="158"/>
  <c r="AK75" i="158"/>
  <c r="AR77" i="158"/>
  <c r="AQ75" i="158"/>
  <c r="AR63" i="158"/>
  <c r="AR60" i="158"/>
  <c r="AR59" i="158"/>
  <c r="AR53" i="158"/>
  <c r="AQ50" i="158"/>
  <c r="AR36" i="158"/>
  <c r="AR43" i="158"/>
  <c r="AR40" i="158"/>
  <c r="AR39" i="158"/>
  <c r="AR29" i="158"/>
  <c r="AQ29" i="158"/>
  <c r="AR27" i="158"/>
  <c r="AR25" i="158"/>
  <c r="AR23" i="158"/>
  <c r="AQ17" i="158"/>
  <c r="AR16" i="158"/>
  <c r="AR14" i="158"/>
  <c r="AR12" i="158"/>
  <c r="AN77" i="158"/>
  <c r="AO43" i="158"/>
  <c r="AO29" i="158"/>
  <c r="AO18" i="158"/>
  <c r="AO40" i="158" l="1"/>
  <c r="AO23" i="158"/>
  <c r="AO14" i="158"/>
  <c r="AO60" i="158"/>
  <c r="AO25" i="158"/>
  <c r="AO19" i="158"/>
  <c r="AO77" i="158"/>
  <c r="AL58" i="158"/>
  <c r="AO58" i="158"/>
  <c r="AO27" i="158"/>
  <c r="AO16" i="158"/>
  <c r="AO13" i="158"/>
  <c r="AO6" i="158"/>
  <c r="AO22" i="158"/>
  <c r="AL59" i="158"/>
  <c r="AL17" i="158"/>
  <c r="AK29" i="158"/>
  <c r="AL39" i="158"/>
  <c r="AL12" i="158"/>
  <c r="AL15" i="158"/>
  <c r="AL63" i="158"/>
  <c r="AL29" i="158"/>
  <c r="AK36" i="158"/>
  <c r="AL60" i="158"/>
  <c r="AL14" i="158"/>
  <c r="AL27" i="158"/>
  <c r="AI15" i="158"/>
  <c r="AL77" i="158"/>
  <c r="AL71" i="158"/>
  <c r="AL40" i="158"/>
  <c r="AL25" i="158"/>
  <c r="AL68" i="158"/>
  <c r="AL6" i="158"/>
  <c r="AL22" i="158"/>
  <c r="AL16" i="158"/>
  <c r="AL48" i="158"/>
  <c r="AI12" i="158"/>
  <c r="AH75" i="158"/>
  <c r="AH71" i="158"/>
  <c r="AH39" i="158"/>
  <c r="AH36" i="158"/>
  <c r="AH29" i="158"/>
  <c r="AH26" i="158"/>
  <c r="AH17" i="158"/>
  <c r="AI75" i="158" l="1"/>
  <c r="AI63" i="158"/>
  <c r="AI59" i="158"/>
  <c r="AI17" i="158"/>
  <c r="AI29" i="158"/>
  <c r="AI39" i="158"/>
  <c r="AI60" i="158"/>
  <c r="AI16" i="158"/>
  <c r="AI14" i="158"/>
  <c r="AC27" i="158"/>
  <c r="AI77" i="158"/>
  <c r="AB75" i="158"/>
  <c r="AB39" i="158"/>
  <c r="AB36" i="158"/>
  <c r="AB29" i="158"/>
  <c r="AB17" i="158"/>
  <c r="AC29" i="158"/>
  <c r="AC84" i="158"/>
  <c r="AC75" i="158"/>
  <c r="AC63" i="158"/>
  <c r="AC59" i="158"/>
  <c r="AC17" i="158"/>
  <c r="AC39" i="158"/>
  <c r="AC12" i="158"/>
  <c r="AC60" i="158"/>
  <c r="AC36" i="158"/>
  <c r="AC16" i="158"/>
  <c r="AC14" i="158"/>
  <c r="AI27" i="158" l="1"/>
  <c r="Y18" i="158"/>
  <c r="AI13" i="158"/>
  <c r="AI40" i="158"/>
  <c r="AI6" i="158"/>
  <c r="AI19" i="158"/>
  <c r="AI22" i="158"/>
  <c r="AI43" i="158"/>
  <c r="AI25" i="158"/>
  <c r="AI18" i="158"/>
  <c r="AI47" i="158"/>
  <c r="AI71" i="158"/>
  <c r="AC48" i="158" l="1"/>
  <c r="AC47" i="158"/>
  <c r="Z47" i="158"/>
  <c r="Z48" i="158"/>
  <c r="Z77" i="158"/>
  <c r="Z60" i="158"/>
  <c r="Z25" i="158"/>
  <c r="Z16" i="158"/>
  <c r="Q71" i="158"/>
  <c r="Y75" i="158"/>
  <c r="Y39" i="158"/>
  <c r="Y36" i="158"/>
  <c r="Y29" i="158"/>
  <c r="Y17" i="158"/>
  <c r="Y12" i="158"/>
  <c r="Z84" i="158"/>
  <c r="Z75" i="158"/>
  <c r="Z63" i="158"/>
  <c r="Z59" i="158"/>
  <c r="Z29" i="158"/>
  <c r="Z39" i="158"/>
  <c r="Z14" i="158"/>
  <c r="W25" i="158"/>
  <c r="V29" i="158"/>
  <c r="AC40" i="158"/>
  <c r="AC18" i="158"/>
  <c r="AC6" i="158"/>
  <c r="AC25" i="158"/>
  <c r="AC22" i="158"/>
  <c r="Z19" i="158"/>
  <c r="Z80" i="158"/>
  <c r="Z43" i="158"/>
  <c r="Z15" i="158"/>
  <c r="Z40" i="158"/>
  <c r="Z22" i="158"/>
  <c r="Z27" i="158"/>
  <c r="Z13" i="158"/>
  <c r="Z58" i="158"/>
  <c r="Z18" i="158"/>
  <c r="Z6" i="158"/>
  <c r="P36" i="158"/>
  <c r="V75" i="158"/>
  <c r="W75" i="158"/>
  <c r="G36" i="158" l="1"/>
  <c r="W60" i="158"/>
  <c r="V36" i="158"/>
  <c r="V17" i="158"/>
  <c r="W17" i="158" l="1"/>
  <c r="W84" i="158" l="1"/>
  <c r="W83" i="158"/>
  <c r="W63" i="158"/>
  <c r="W59" i="158"/>
  <c r="W29" i="158"/>
  <c r="W39" i="158"/>
  <c r="W12" i="158"/>
  <c r="W15" i="158"/>
  <c r="P24" i="158"/>
  <c r="N29" i="158"/>
  <c r="W23" i="158"/>
  <c r="W16" i="158"/>
  <c r="W14" i="158"/>
  <c r="W48" i="158"/>
  <c r="W13" i="158"/>
  <c r="W77" i="158"/>
  <c r="W71" i="158"/>
  <c r="W40" i="158"/>
  <c r="W27" i="158"/>
  <c r="W58" i="158"/>
  <c r="T77" i="158"/>
  <c r="W6" i="158"/>
  <c r="T14" i="158"/>
  <c r="T19" i="158"/>
  <c r="T71" i="158"/>
  <c r="T25" i="158"/>
  <c r="T40" i="158"/>
  <c r="T43" i="158"/>
  <c r="T18" i="158"/>
  <c r="W22" i="158"/>
  <c r="W24" i="158"/>
  <c r="W18" i="158"/>
  <c r="W43" i="158"/>
  <c r="P17" i="158"/>
  <c r="P19" i="158"/>
  <c r="Q40" i="158"/>
  <c r="T23" i="158"/>
  <c r="T27" i="158"/>
  <c r="T15" i="158"/>
  <c r="T60" i="158"/>
  <c r="T58" i="158"/>
  <c r="T22" i="158"/>
  <c r="T6" i="158" l="1"/>
  <c r="T48" i="158"/>
  <c r="P29" i="158"/>
  <c r="Q29" i="158"/>
  <c r="P75" i="158"/>
  <c r="P63" i="158"/>
  <c r="P60" i="158"/>
  <c r="P39" i="158"/>
  <c r="P14" i="158"/>
  <c r="P8" i="158"/>
  <c r="Q84" i="158" l="1"/>
  <c r="Q75" i="158"/>
  <c r="Q63" i="158"/>
  <c r="Q59" i="158"/>
  <c r="Q17" i="158"/>
  <c r="Q39" i="158"/>
  <c r="Q12" i="158"/>
  <c r="Q15" i="158"/>
  <c r="Q36" i="158"/>
  <c r="Q60" i="158"/>
  <c r="Q14" i="158"/>
  <c r="Q16" i="158"/>
  <c r="Q13" i="158"/>
  <c r="Q48" i="158"/>
  <c r="N75" i="158"/>
  <c r="Q77" i="158"/>
  <c r="Q27" i="158"/>
  <c r="H39" i="158"/>
  <c r="H17" i="158"/>
  <c r="M60" i="158"/>
  <c r="N84" i="158"/>
  <c r="N63" i="158"/>
  <c r="N59" i="158"/>
  <c r="N17" i="158"/>
  <c r="N39" i="158"/>
  <c r="N12" i="158"/>
  <c r="Q25" i="158"/>
  <c r="Q6" i="158"/>
  <c r="N60" i="158"/>
  <c r="N16" i="158"/>
  <c r="N14" i="158"/>
  <c r="Q18" i="158"/>
  <c r="Q58" i="158"/>
  <c r="Q43" i="158"/>
  <c r="G17" i="158"/>
  <c r="H29" i="158" l="1"/>
  <c r="G29" i="158"/>
  <c r="H12" i="158"/>
  <c r="G75" i="158"/>
  <c r="G60" i="158"/>
  <c r="G59" i="158"/>
  <c r="G53" i="158"/>
  <c r="G50" i="158"/>
  <c r="G39" i="158"/>
  <c r="G16" i="158"/>
  <c r="G14" i="158"/>
  <c r="G13" i="158"/>
  <c r="H84" i="158"/>
  <c r="H75" i="158"/>
  <c r="H63" i="158"/>
  <c r="H59" i="158"/>
  <c r="H16" i="158"/>
  <c r="H14" i="158" l="1"/>
  <c r="H40" i="158"/>
  <c r="H48" i="158"/>
  <c r="I82" i="158"/>
  <c r="L82" i="158" s="1"/>
  <c r="O82" i="158" s="1"/>
  <c r="R82" i="158" s="1"/>
  <c r="U82" i="158" s="1"/>
  <c r="X82" i="158" s="1"/>
  <c r="AA82" i="158" s="1"/>
  <c r="AD82" i="158" s="1"/>
  <c r="AG82" i="158" s="1"/>
  <c r="AJ82" i="158" s="1"/>
  <c r="AM82" i="158" s="1"/>
  <c r="AP82" i="158" s="1"/>
  <c r="AS82" i="158" s="1"/>
  <c r="CT29" i="157"/>
  <c r="CS29" i="157"/>
  <c r="CT63" i="157"/>
  <c r="CS60" i="157"/>
  <c r="CS36" i="157"/>
  <c r="CT84" i="157"/>
  <c r="CT75" i="157"/>
  <c r="CT59" i="157"/>
  <c r="CT17" i="157"/>
  <c r="CT39" i="157"/>
  <c r="CT12" i="157"/>
  <c r="CT16" i="157"/>
  <c r="CT15" i="157"/>
  <c r="CT14" i="157"/>
  <c r="CT60" i="157" l="1"/>
  <c r="CT25" i="157"/>
  <c r="CT23" i="157"/>
  <c r="CQ26" i="157"/>
  <c r="CT48" i="157"/>
  <c r="CT27" i="157"/>
  <c r="CT22" i="157"/>
  <c r="CW94" i="158"/>
  <c r="CV94" i="158"/>
  <c r="I94" i="158"/>
  <c r="L94" i="158" s="1"/>
  <c r="O94" i="158" s="1"/>
  <c r="R94" i="158" s="1"/>
  <c r="U94" i="158" s="1"/>
  <c r="X94" i="158" s="1"/>
  <c r="AA94" i="158" s="1"/>
  <c r="AD94" i="158" s="1"/>
  <c r="AG94" i="158" s="1"/>
  <c r="AJ94" i="158" s="1"/>
  <c r="AM94" i="158" s="1"/>
  <c r="AP94" i="158" s="1"/>
  <c r="AS94" i="158" s="1"/>
  <c r="AV94" i="158" s="1"/>
  <c r="AY94" i="158" s="1"/>
  <c r="BB94" i="158" s="1"/>
  <c r="BE94" i="158" s="1"/>
  <c r="BH94" i="158" s="1"/>
  <c r="BK94" i="158" s="1"/>
  <c r="BN94" i="158" s="1"/>
  <c r="BQ94" i="158" s="1"/>
  <c r="BT94" i="158" s="1"/>
  <c r="BW94" i="158" s="1"/>
  <c r="BZ94" i="158" s="1"/>
  <c r="CC94" i="158" s="1"/>
  <c r="CF94" i="158" s="1"/>
  <c r="CI94" i="158" s="1"/>
  <c r="CL94" i="158" s="1"/>
  <c r="CO94" i="158" s="1"/>
  <c r="CR94" i="158" s="1"/>
  <c r="CU94" i="158" s="1"/>
  <c r="CW93" i="158"/>
  <c r="CV93" i="158"/>
  <c r="I93" i="158"/>
  <c r="L93" i="158" s="1"/>
  <c r="O93" i="158" s="1"/>
  <c r="R93" i="158" s="1"/>
  <c r="U93" i="158" s="1"/>
  <c r="X93" i="158" s="1"/>
  <c r="AA93" i="158" s="1"/>
  <c r="AD93" i="158" s="1"/>
  <c r="AG93" i="158" s="1"/>
  <c r="AJ93" i="158" s="1"/>
  <c r="AM93" i="158" s="1"/>
  <c r="AP93" i="158" s="1"/>
  <c r="AS93" i="158" s="1"/>
  <c r="AV93" i="158" s="1"/>
  <c r="AY93" i="158" s="1"/>
  <c r="BB93" i="158" s="1"/>
  <c r="BE93" i="158" s="1"/>
  <c r="BH93" i="158" s="1"/>
  <c r="BK93" i="158" s="1"/>
  <c r="BN93" i="158" s="1"/>
  <c r="BQ93" i="158" s="1"/>
  <c r="BT93" i="158" s="1"/>
  <c r="BW93" i="158" s="1"/>
  <c r="BZ93" i="158" s="1"/>
  <c r="CC93" i="158" s="1"/>
  <c r="CF93" i="158" s="1"/>
  <c r="CI93" i="158" s="1"/>
  <c r="CL93" i="158" s="1"/>
  <c r="CO93" i="158" s="1"/>
  <c r="CR93" i="158" s="1"/>
  <c r="CU93" i="158" s="1"/>
  <c r="CW92" i="158"/>
  <c r="CV92" i="158"/>
  <c r="I92" i="158"/>
  <c r="L92" i="158" s="1"/>
  <c r="O92" i="158" s="1"/>
  <c r="R92" i="158" s="1"/>
  <c r="U92" i="158" s="1"/>
  <c r="X92" i="158" s="1"/>
  <c r="AA92" i="158" s="1"/>
  <c r="AD92" i="158" s="1"/>
  <c r="AG92" i="158" s="1"/>
  <c r="AJ92" i="158" s="1"/>
  <c r="AM92" i="158" s="1"/>
  <c r="AP92" i="158" s="1"/>
  <c r="AS92" i="158" s="1"/>
  <c r="AV92" i="158" s="1"/>
  <c r="AY92" i="158" s="1"/>
  <c r="BB92" i="158" s="1"/>
  <c r="BE92" i="158" s="1"/>
  <c r="BH92" i="158" s="1"/>
  <c r="BK92" i="158" s="1"/>
  <c r="BN92" i="158" s="1"/>
  <c r="BQ92" i="158" s="1"/>
  <c r="BT92" i="158" s="1"/>
  <c r="BW92" i="158" s="1"/>
  <c r="BZ92" i="158" s="1"/>
  <c r="CC92" i="158" s="1"/>
  <c r="CF92" i="158" s="1"/>
  <c r="CI92" i="158" s="1"/>
  <c r="CL92" i="158" s="1"/>
  <c r="CO92" i="158" s="1"/>
  <c r="CR92" i="158" s="1"/>
  <c r="CU92" i="158" s="1"/>
  <c r="CW91" i="158"/>
  <c r="CV91" i="158"/>
  <c r="I91" i="158"/>
  <c r="L91" i="158" s="1"/>
  <c r="O91" i="158" s="1"/>
  <c r="R91" i="158" s="1"/>
  <c r="U91" i="158" s="1"/>
  <c r="X91" i="158" s="1"/>
  <c r="AA91" i="158" s="1"/>
  <c r="AD91" i="158" s="1"/>
  <c r="AG91" i="158" s="1"/>
  <c r="AJ91" i="158" s="1"/>
  <c r="AM91" i="158" s="1"/>
  <c r="AP91" i="158" s="1"/>
  <c r="AS91" i="158" s="1"/>
  <c r="AV91" i="158" s="1"/>
  <c r="AY91" i="158" s="1"/>
  <c r="BB91" i="158" s="1"/>
  <c r="BE91" i="158" s="1"/>
  <c r="BH91" i="158" s="1"/>
  <c r="BK91" i="158" s="1"/>
  <c r="BN91" i="158" s="1"/>
  <c r="BQ91" i="158" s="1"/>
  <c r="BT91" i="158" s="1"/>
  <c r="BW91" i="158" s="1"/>
  <c r="BZ91" i="158" s="1"/>
  <c r="CC91" i="158" s="1"/>
  <c r="CF91" i="158" s="1"/>
  <c r="CI91" i="158" s="1"/>
  <c r="CL91" i="158" s="1"/>
  <c r="CO91" i="158" s="1"/>
  <c r="CR91" i="158" s="1"/>
  <c r="CU91" i="158" s="1"/>
  <c r="CW90" i="158"/>
  <c r="CV90" i="158"/>
  <c r="I90" i="158"/>
  <c r="L90" i="158" s="1"/>
  <c r="O90" i="158" s="1"/>
  <c r="R90" i="158" s="1"/>
  <c r="U90" i="158" s="1"/>
  <c r="X90" i="158" s="1"/>
  <c r="AA90" i="158" s="1"/>
  <c r="AD90" i="158" s="1"/>
  <c r="AG90" i="158" s="1"/>
  <c r="AJ90" i="158" s="1"/>
  <c r="AM90" i="158" s="1"/>
  <c r="AP90" i="158" s="1"/>
  <c r="AS90" i="158" s="1"/>
  <c r="AV90" i="158" s="1"/>
  <c r="AY90" i="158" s="1"/>
  <c r="BB90" i="158" s="1"/>
  <c r="BE90" i="158" s="1"/>
  <c r="BH90" i="158" s="1"/>
  <c r="BK90" i="158" s="1"/>
  <c r="BN90" i="158" s="1"/>
  <c r="BQ90" i="158" s="1"/>
  <c r="BT90" i="158" s="1"/>
  <c r="BW90" i="158" s="1"/>
  <c r="BZ90" i="158" s="1"/>
  <c r="CC90" i="158" s="1"/>
  <c r="CF90" i="158" s="1"/>
  <c r="CI90" i="158" s="1"/>
  <c r="CL90" i="158" s="1"/>
  <c r="CO90" i="158" s="1"/>
  <c r="CR90" i="158" s="1"/>
  <c r="CU90" i="158" s="1"/>
  <c r="CW89" i="158"/>
  <c r="CV89" i="158"/>
  <c r="I89" i="158"/>
  <c r="L89" i="158" s="1"/>
  <c r="O89" i="158" s="1"/>
  <c r="R89" i="158" s="1"/>
  <c r="U89" i="158" s="1"/>
  <c r="X89" i="158" s="1"/>
  <c r="AA89" i="158" s="1"/>
  <c r="AD89" i="158" s="1"/>
  <c r="AG89" i="158" s="1"/>
  <c r="AJ89" i="158" s="1"/>
  <c r="AM89" i="158" s="1"/>
  <c r="AP89" i="158" s="1"/>
  <c r="AS89" i="158" s="1"/>
  <c r="AV89" i="158" s="1"/>
  <c r="AY89" i="158" s="1"/>
  <c r="BB89" i="158" s="1"/>
  <c r="BE89" i="158" s="1"/>
  <c r="BH89" i="158" s="1"/>
  <c r="BK89" i="158" s="1"/>
  <c r="BN89" i="158" s="1"/>
  <c r="BQ89" i="158" s="1"/>
  <c r="BT89" i="158" s="1"/>
  <c r="BW89" i="158" s="1"/>
  <c r="BZ89" i="158" s="1"/>
  <c r="CC89" i="158" s="1"/>
  <c r="CF89" i="158" s="1"/>
  <c r="CI89" i="158" s="1"/>
  <c r="CL89" i="158" s="1"/>
  <c r="CO89" i="158" s="1"/>
  <c r="CR89" i="158" s="1"/>
  <c r="CU89" i="158" s="1"/>
  <c r="CW88" i="158"/>
  <c r="CV88" i="158"/>
  <c r="I88" i="158"/>
  <c r="L88" i="158" s="1"/>
  <c r="O88" i="158" s="1"/>
  <c r="R88" i="158" s="1"/>
  <c r="U88" i="158" s="1"/>
  <c r="X88" i="158" s="1"/>
  <c r="AA88" i="158" s="1"/>
  <c r="AD88" i="158" s="1"/>
  <c r="AG88" i="158" s="1"/>
  <c r="AJ88" i="158" s="1"/>
  <c r="AM88" i="158" s="1"/>
  <c r="AP88" i="158" s="1"/>
  <c r="AS88" i="158" s="1"/>
  <c r="AV88" i="158" s="1"/>
  <c r="AY88" i="158" s="1"/>
  <c r="BB88" i="158" s="1"/>
  <c r="BE88" i="158" s="1"/>
  <c r="BH88" i="158" s="1"/>
  <c r="BK88" i="158" s="1"/>
  <c r="BN88" i="158" s="1"/>
  <c r="BQ88" i="158" s="1"/>
  <c r="BT88" i="158" s="1"/>
  <c r="BW88" i="158" s="1"/>
  <c r="BZ88" i="158" s="1"/>
  <c r="CC88" i="158" s="1"/>
  <c r="CF88" i="158" s="1"/>
  <c r="CI88" i="158" s="1"/>
  <c r="CL88" i="158" s="1"/>
  <c r="CO88" i="158" s="1"/>
  <c r="CR88" i="158" s="1"/>
  <c r="CU88" i="158" s="1"/>
  <c r="CW87" i="158"/>
  <c r="CV87" i="158"/>
  <c r="I87" i="158"/>
  <c r="L87" i="158" s="1"/>
  <c r="O87" i="158" s="1"/>
  <c r="R87" i="158" s="1"/>
  <c r="U87" i="158" s="1"/>
  <c r="X87" i="158" s="1"/>
  <c r="AA87" i="158" s="1"/>
  <c r="AD87" i="158" s="1"/>
  <c r="AG87" i="158" s="1"/>
  <c r="AJ87" i="158" s="1"/>
  <c r="AM87" i="158" s="1"/>
  <c r="AP87" i="158" s="1"/>
  <c r="AS87" i="158" s="1"/>
  <c r="AV87" i="158" s="1"/>
  <c r="AY87" i="158" s="1"/>
  <c r="BB87" i="158" s="1"/>
  <c r="BE87" i="158" s="1"/>
  <c r="BH87" i="158" s="1"/>
  <c r="BK87" i="158" s="1"/>
  <c r="BN87" i="158" s="1"/>
  <c r="BQ87" i="158" s="1"/>
  <c r="BT87" i="158" s="1"/>
  <c r="BW87" i="158" s="1"/>
  <c r="BZ87" i="158" s="1"/>
  <c r="CC87" i="158" s="1"/>
  <c r="CF87" i="158" s="1"/>
  <c r="CI87" i="158" s="1"/>
  <c r="CL87" i="158" s="1"/>
  <c r="CO87" i="158" s="1"/>
  <c r="CR87" i="158" s="1"/>
  <c r="CU87" i="158" s="1"/>
  <c r="CW86" i="158"/>
  <c r="CV86" i="158"/>
  <c r="I86" i="158"/>
  <c r="L86" i="158" s="1"/>
  <c r="O86" i="158" s="1"/>
  <c r="R86" i="158" s="1"/>
  <c r="U86" i="158" s="1"/>
  <c r="X86" i="158" s="1"/>
  <c r="AA86" i="158" s="1"/>
  <c r="AD86" i="158" s="1"/>
  <c r="AG86" i="158" s="1"/>
  <c r="AJ86" i="158" s="1"/>
  <c r="AM86" i="158" s="1"/>
  <c r="AP86" i="158" s="1"/>
  <c r="AS86" i="158" s="1"/>
  <c r="AV86" i="158" s="1"/>
  <c r="AY86" i="158" s="1"/>
  <c r="BB86" i="158" s="1"/>
  <c r="BE86" i="158" s="1"/>
  <c r="BH86" i="158" s="1"/>
  <c r="BK86" i="158" s="1"/>
  <c r="BN86" i="158" s="1"/>
  <c r="BQ86" i="158" s="1"/>
  <c r="BT86" i="158" s="1"/>
  <c r="BW86" i="158" s="1"/>
  <c r="BZ86" i="158" s="1"/>
  <c r="CC86" i="158" s="1"/>
  <c r="CF86" i="158" s="1"/>
  <c r="CI86" i="158" s="1"/>
  <c r="CL86" i="158" s="1"/>
  <c r="CO86" i="158" s="1"/>
  <c r="CR86" i="158" s="1"/>
  <c r="CU86" i="158" s="1"/>
  <c r="CW85" i="158"/>
  <c r="CV85" i="158"/>
  <c r="I85" i="158"/>
  <c r="L85" i="158" s="1"/>
  <c r="O85" i="158" s="1"/>
  <c r="R85" i="158" s="1"/>
  <c r="U85" i="158" s="1"/>
  <c r="X85" i="158" s="1"/>
  <c r="AA85" i="158" s="1"/>
  <c r="AD85" i="158" s="1"/>
  <c r="AG85" i="158" s="1"/>
  <c r="AJ85" i="158" s="1"/>
  <c r="AM85" i="158" s="1"/>
  <c r="AP85" i="158" s="1"/>
  <c r="AS85" i="158" s="1"/>
  <c r="AV85" i="158" s="1"/>
  <c r="AY85" i="158" s="1"/>
  <c r="BB85" i="158" s="1"/>
  <c r="BE85" i="158" s="1"/>
  <c r="BH85" i="158" s="1"/>
  <c r="BK85" i="158" s="1"/>
  <c r="BN85" i="158" s="1"/>
  <c r="BQ85" i="158" s="1"/>
  <c r="BT85" i="158" s="1"/>
  <c r="BW85" i="158" s="1"/>
  <c r="BZ85" i="158" s="1"/>
  <c r="CC85" i="158" s="1"/>
  <c r="CF85" i="158" s="1"/>
  <c r="CI85" i="158" s="1"/>
  <c r="CL85" i="158" s="1"/>
  <c r="CO85" i="158" s="1"/>
  <c r="CR85" i="158" s="1"/>
  <c r="CU85" i="158" s="1"/>
  <c r="CV84" i="158"/>
  <c r="CW84" i="158"/>
  <c r="I84" i="158"/>
  <c r="L84" i="158" s="1"/>
  <c r="O84" i="158" s="1"/>
  <c r="R84" i="158" s="1"/>
  <c r="U84" i="158" s="1"/>
  <c r="X84" i="158" s="1"/>
  <c r="AA84" i="158" s="1"/>
  <c r="AD84" i="158" s="1"/>
  <c r="AG84" i="158" s="1"/>
  <c r="AJ84" i="158" s="1"/>
  <c r="AM84" i="158" s="1"/>
  <c r="AP84" i="158" s="1"/>
  <c r="AS84" i="158" s="1"/>
  <c r="AV84" i="158" s="1"/>
  <c r="AY84" i="158" s="1"/>
  <c r="BB84" i="158" s="1"/>
  <c r="BE84" i="158" s="1"/>
  <c r="BH84" i="158" s="1"/>
  <c r="BK84" i="158" s="1"/>
  <c r="BN84" i="158" s="1"/>
  <c r="BQ84" i="158" s="1"/>
  <c r="BT84" i="158" s="1"/>
  <c r="BW84" i="158" s="1"/>
  <c r="BZ84" i="158" s="1"/>
  <c r="CC84" i="158" s="1"/>
  <c r="CF84" i="158" s="1"/>
  <c r="CI84" i="158" s="1"/>
  <c r="CL84" i="158" s="1"/>
  <c r="CO84" i="158" s="1"/>
  <c r="CR84" i="158" s="1"/>
  <c r="CU84" i="158" s="1"/>
  <c r="CV83" i="158"/>
  <c r="I83" i="158"/>
  <c r="CW82" i="158"/>
  <c r="CV82" i="158"/>
  <c r="AV82" i="158"/>
  <c r="AY82" i="158" s="1"/>
  <c r="BB82" i="158" s="1"/>
  <c r="BE82" i="158" s="1"/>
  <c r="BH82" i="158" s="1"/>
  <c r="BK82" i="158" s="1"/>
  <c r="BN82" i="158" s="1"/>
  <c r="BQ82" i="158" s="1"/>
  <c r="BT82" i="158" s="1"/>
  <c r="BW82" i="158" s="1"/>
  <c r="BZ82" i="158" s="1"/>
  <c r="CC82" i="158" s="1"/>
  <c r="CF82" i="158" s="1"/>
  <c r="CI82" i="158" s="1"/>
  <c r="CL82" i="158" s="1"/>
  <c r="CO82" i="158" s="1"/>
  <c r="CR82" i="158" s="1"/>
  <c r="CU82" i="158" s="1"/>
  <c r="CW81" i="158"/>
  <c r="CV81" i="158"/>
  <c r="I81" i="158"/>
  <c r="L81" i="158" s="1"/>
  <c r="O81" i="158" s="1"/>
  <c r="R81" i="158" s="1"/>
  <c r="U81" i="158" s="1"/>
  <c r="X81" i="158" s="1"/>
  <c r="AA81" i="158" s="1"/>
  <c r="AD81" i="158" s="1"/>
  <c r="AG81" i="158" s="1"/>
  <c r="AJ81" i="158" s="1"/>
  <c r="AM81" i="158" s="1"/>
  <c r="AP81" i="158" s="1"/>
  <c r="AS81" i="158" s="1"/>
  <c r="AV81" i="158" s="1"/>
  <c r="AY81" i="158" s="1"/>
  <c r="BB81" i="158" s="1"/>
  <c r="BE81" i="158" s="1"/>
  <c r="BH81" i="158" s="1"/>
  <c r="BK81" i="158" s="1"/>
  <c r="BN81" i="158" s="1"/>
  <c r="BQ81" i="158" s="1"/>
  <c r="BT81" i="158" s="1"/>
  <c r="BW81" i="158" s="1"/>
  <c r="BZ81" i="158" s="1"/>
  <c r="CC81" i="158" s="1"/>
  <c r="CF81" i="158" s="1"/>
  <c r="CI81" i="158" s="1"/>
  <c r="CL81" i="158" s="1"/>
  <c r="CO81" i="158" s="1"/>
  <c r="CR81" i="158" s="1"/>
  <c r="CU81" i="158" s="1"/>
  <c r="CW80" i="158"/>
  <c r="CV80" i="158"/>
  <c r="I80" i="158"/>
  <c r="L80" i="158" s="1"/>
  <c r="O80" i="158" s="1"/>
  <c r="R80" i="158" s="1"/>
  <c r="U80" i="158" s="1"/>
  <c r="X80" i="158" s="1"/>
  <c r="AA80" i="158" s="1"/>
  <c r="AD80" i="158" s="1"/>
  <c r="AG80" i="158" s="1"/>
  <c r="AJ80" i="158" s="1"/>
  <c r="AM80" i="158" s="1"/>
  <c r="AP80" i="158" s="1"/>
  <c r="AS80" i="158" s="1"/>
  <c r="AV80" i="158" s="1"/>
  <c r="AY80" i="158" s="1"/>
  <c r="BB80" i="158" s="1"/>
  <c r="BE80" i="158" s="1"/>
  <c r="BH80" i="158" s="1"/>
  <c r="BK80" i="158" s="1"/>
  <c r="BN80" i="158" s="1"/>
  <c r="BQ80" i="158" s="1"/>
  <c r="BT80" i="158" s="1"/>
  <c r="BW80" i="158" s="1"/>
  <c r="BZ80" i="158" s="1"/>
  <c r="CC80" i="158" s="1"/>
  <c r="CF80" i="158" s="1"/>
  <c r="CI80" i="158" s="1"/>
  <c r="CL80" i="158" s="1"/>
  <c r="CO80" i="158" s="1"/>
  <c r="CR80" i="158" s="1"/>
  <c r="CU80" i="158" s="1"/>
  <c r="CW79" i="158"/>
  <c r="CV79" i="158"/>
  <c r="I79" i="158"/>
  <c r="L79" i="158" s="1"/>
  <c r="O79" i="158" s="1"/>
  <c r="R79" i="158" s="1"/>
  <c r="U79" i="158" s="1"/>
  <c r="X79" i="158" s="1"/>
  <c r="AA79" i="158" s="1"/>
  <c r="AD79" i="158" s="1"/>
  <c r="AG79" i="158" s="1"/>
  <c r="AJ79" i="158" s="1"/>
  <c r="AM79" i="158" s="1"/>
  <c r="AP79" i="158" s="1"/>
  <c r="AS79" i="158" s="1"/>
  <c r="AV79" i="158" s="1"/>
  <c r="AY79" i="158" s="1"/>
  <c r="BB79" i="158" s="1"/>
  <c r="BE79" i="158" s="1"/>
  <c r="BH79" i="158" s="1"/>
  <c r="BK79" i="158" s="1"/>
  <c r="BN79" i="158" s="1"/>
  <c r="BQ79" i="158" s="1"/>
  <c r="BT79" i="158" s="1"/>
  <c r="BW79" i="158" s="1"/>
  <c r="BZ79" i="158" s="1"/>
  <c r="CC79" i="158" s="1"/>
  <c r="CF79" i="158" s="1"/>
  <c r="CI79" i="158" s="1"/>
  <c r="CL79" i="158" s="1"/>
  <c r="CO79" i="158" s="1"/>
  <c r="CR79" i="158" s="1"/>
  <c r="CU79" i="158" s="1"/>
  <c r="CZ78" i="158"/>
  <c r="CW78" i="158"/>
  <c r="CV78" i="158"/>
  <c r="I78" i="158"/>
  <c r="L78" i="158" s="1"/>
  <c r="O78" i="158" s="1"/>
  <c r="R78" i="158" s="1"/>
  <c r="U78" i="158" s="1"/>
  <c r="X78" i="158" s="1"/>
  <c r="AA78" i="158" s="1"/>
  <c r="AD78" i="158" s="1"/>
  <c r="AG78" i="158" s="1"/>
  <c r="AJ78" i="158" s="1"/>
  <c r="AM78" i="158" s="1"/>
  <c r="AP78" i="158" s="1"/>
  <c r="AS78" i="158" s="1"/>
  <c r="AV78" i="158" s="1"/>
  <c r="AY78" i="158" s="1"/>
  <c r="BB78" i="158" s="1"/>
  <c r="BE78" i="158" s="1"/>
  <c r="BH78" i="158" s="1"/>
  <c r="BK78" i="158" s="1"/>
  <c r="BN78" i="158" s="1"/>
  <c r="BQ78" i="158" s="1"/>
  <c r="BT78" i="158" s="1"/>
  <c r="BW78" i="158" s="1"/>
  <c r="BZ78" i="158" s="1"/>
  <c r="CC78" i="158" s="1"/>
  <c r="CF78" i="158" s="1"/>
  <c r="CI78" i="158" s="1"/>
  <c r="CL78" i="158" s="1"/>
  <c r="CO78" i="158" s="1"/>
  <c r="CR78" i="158" s="1"/>
  <c r="CU78" i="158" s="1"/>
  <c r="DB78" i="158" s="1"/>
  <c r="DE78" i="158" s="1"/>
  <c r="I77" i="158"/>
  <c r="L77" i="158" s="1"/>
  <c r="O77" i="158" s="1"/>
  <c r="R77" i="158" s="1"/>
  <c r="U77" i="158" s="1"/>
  <c r="X77" i="158" s="1"/>
  <c r="AA77" i="158" s="1"/>
  <c r="AD77" i="158" s="1"/>
  <c r="AG77" i="158" s="1"/>
  <c r="AJ77" i="158" s="1"/>
  <c r="AM77" i="158" s="1"/>
  <c r="AP77" i="158" s="1"/>
  <c r="AS77" i="158" s="1"/>
  <c r="AV77" i="158" s="1"/>
  <c r="AY77" i="158" s="1"/>
  <c r="BB77" i="158" s="1"/>
  <c r="BE77" i="158" s="1"/>
  <c r="BH77" i="158" s="1"/>
  <c r="BK77" i="158" s="1"/>
  <c r="BN77" i="158" s="1"/>
  <c r="BQ77" i="158" s="1"/>
  <c r="BT77" i="158" s="1"/>
  <c r="BW77" i="158" s="1"/>
  <c r="BZ77" i="158" s="1"/>
  <c r="CC77" i="158" s="1"/>
  <c r="CF77" i="158" s="1"/>
  <c r="CI77" i="158" s="1"/>
  <c r="CL77" i="158" s="1"/>
  <c r="CO77" i="158" s="1"/>
  <c r="CR77" i="158" s="1"/>
  <c r="CU77" i="158" s="1"/>
  <c r="CV77" i="158"/>
  <c r="CW76" i="158"/>
  <c r="CV76" i="158"/>
  <c r="I76" i="158"/>
  <c r="L76" i="158" s="1"/>
  <c r="O76" i="158" s="1"/>
  <c r="R76" i="158" s="1"/>
  <c r="U76" i="158" s="1"/>
  <c r="X76" i="158" s="1"/>
  <c r="AA76" i="158" s="1"/>
  <c r="AD76" i="158" s="1"/>
  <c r="AG76" i="158" s="1"/>
  <c r="AJ76" i="158" s="1"/>
  <c r="AM76" i="158" s="1"/>
  <c r="AP76" i="158" s="1"/>
  <c r="AS76" i="158" s="1"/>
  <c r="AV76" i="158" s="1"/>
  <c r="AY76" i="158" s="1"/>
  <c r="BB76" i="158" s="1"/>
  <c r="BE76" i="158" s="1"/>
  <c r="BH76" i="158" s="1"/>
  <c r="BK76" i="158" s="1"/>
  <c r="BN76" i="158" s="1"/>
  <c r="BQ76" i="158" s="1"/>
  <c r="BT76" i="158" s="1"/>
  <c r="BW76" i="158" s="1"/>
  <c r="BZ76" i="158" s="1"/>
  <c r="CC76" i="158" s="1"/>
  <c r="CF76" i="158" s="1"/>
  <c r="CI76" i="158" s="1"/>
  <c r="CL76" i="158" s="1"/>
  <c r="CO76" i="158" s="1"/>
  <c r="CR76" i="158" s="1"/>
  <c r="CU76" i="158" s="1"/>
  <c r="CV75" i="158"/>
  <c r="I75" i="158"/>
  <c r="L75" i="158" s="1"/>
  <c r="O75" i="158" s="1"/>
  <c r="CW74" i="158"/>
  <c r="CV74" i="158"/>
  <c r="I74" i="158"/>
  <c r="L74" i="158" s="1"/>
  <c r="O74" i="158" s="1"/>
  <c r="R74" i="158" s="1"/>
  <c r="U74" i="158" s="1"/>
  <c r="X74" i="158" s="1"/>
  <c r="AA74" i="158" s="1"/>
  <c r="AD74" i="158" s="1"/>
  <c r="AG74" i="158" s="1"/>
  <c r="AJ74" i="158" s="1"/>
  <c r="AM74" i="158" s="1"/>
  <c r="AP74" i="158" s="1"/>
  <c r="AS74" i="158" s="1"/>
  <c r="AV74" i="158" s="1"/>
  <c r="AY74" i="158" s="1"/>
  <c r="BB74" i="158" s="1"/>
  <c r="BE74" i="158" s="1"/>
  <c r="BH74" i="158" s="1"/>
  <c r="BK74" i="158" s="1"/>
  <c r="BN74" i="158" s="1"/>
  <c r="BQ74" i="158" s="1"/>
  <c r="BT74" i="158" s="1"/>
  <c r="BW74" i="158" s="1"/>
  <c r="BZ74" i="158" s="1"/>
  <c r="CC74" i="158" s="1"/>
  <c r="CF74" i="158" s="1"/>
  <c r="CI74" i="158" s="1"/>
  <c r="CL74" i="158" s="1"/>
  <c r="CO74" i="158" s="1"/>
  <c r="CR74" i="158" s="1"/>
  <c r="CU74" i="158" s="1"/>
  <c r="CW73" i="158"/>
  <c r="CV73" i="158"/>
  <c r="I73" i="158"/>
  <c r="L73" i="158" s="1"/>
  <c r="O73" i="158" s="1"/>
  <c r="R73" i="158" s="1"/>
  <c r="U73" i="158" s="1"/>
  <c r="X73" i="158" s="1"/>
  <c r="AA73" i="158" s="1"/>
  <c r="AD73" i="158" s="1"/>
  <c r="AG73" i="158" s="1"/>
  <c r="AJ73" i="158" s="1"/>
  <c r="AM73" i="158" s="1"/>
  <c r="AP73" i="158" s="1"/>
  <c r="AS73" i="158" s="1"/>
  <c r="AV73" i="158" s="1"/>
  <c r="AY73" i="158" s="1"/>
  <c r="BB73" i="158" s="1"/>
  <c r="BE73" i="158" s="1"/>
  <c r="BH73" i="158" s="1"/>
  <c r="BK73" i="158" s="1"/>
  <c r="BN73" i="158" s="1"/>
  <c r="BQ73" i="158" s="1"/>
  <c r="BT73" i="158" s="1"/>
  <c r="BW73" i="158" s="1"/>
  <c r="BZ73" i="158" s="1"/>
  <c r="CC73" i="158" s="1"/>
  <c r="CF73" i="158" s="1"/>
  <c r="CI73" i="158" s="1"/>
  <c r="CL73" i="158" s="1"/>
  <c r="CO73" i="158" s="1"/>
  <c r="CR73" i="158" s="1"/>
  <c r="CU73" i="158" s="1"/>
  <c r="CW72" i="158"/>
  <c r="CV72" i="158"/>
  <c r="I72" i="158"/>
  <c r="L72" i="158" s="1"/>
  <c r="O72" i="158" s="1"/>
  <c r="R72" i="158" s="1"/>
  <c r="U72" i="158" s="1"/>
  <c r="X72" i="158" s="1"/>
  <c r="AA72" i="158" s="1"/>
  <c r="AD72" i="158" s="1"/>
  <c r="AG72" i="158" s="1"/>
  <c r="AJ72" i="158" s="1"/>
  <c r="AM72" i="158" s="1"/>
  <c r="AP72" i="158" s="1"/>
  <c r="AS72" i="158" s="1"/>
  <c r="AV72" i="158" s="1"/>
  <c r="AY72" i="158" s="1"/>
  <c r="BB72" i="158" s="1"/>
  <c r="BE72" i="158" s="1"/>
  <c r="BH72" i="158" s="1"/>
  <c r="BK72" i="158" s="1"/>
  <c r="BN72" i="158" s="1"/>
  <c r="BQ72" i="158" s="1"/>
  <c r="BT72" i="158" s="1"/>
  <c r="BW72" i="158" s="1"/>
  <c r="BZ72" i="158" s="1"/>
  <c r="CC72" i="158" s="1"/>
  <c r="CF72" i="158" s="1"/>
  <c r="CI72" i="158" s="1"/>
  <c r="CL72" i="158" s="1"/>
  <c r="CO72" i="158" s="1"/>
  <c r="CR72" i="158" s="1"/>
  <c r="CU72" i="158" s="1"/>
  <c r="CV71" i="158"/>
  <c r="CW71" i="158"/>
  <c r="I71" i="158"/>
  <c r="L71" i="158" s="1"/>
  <c r="O71" i="158" s="1"/>
  <c r="R71" i="158" s="1"/>
  <c r="U71" i="158" s="1"/>
  <c r="CW70" i="158"/>
  <c r="CV70" i="158"/>
  <c r="I70" i="158"/>
  <c r="L70" i="158" s="1"/>
  <c r="O70" i="158" s="1"/>
  <c r="R70" i="158" s="1"/>
  <c r="U70" i="158" s="1"/>
  <c r="X70" i="158" s="1"/>
  <c r="AA70" i="158" s="1"/>
  <c r="AD70" i="158" s="1"/>
  <c r="AG70" i="158" s="1"/>
  <c r="AJ70" i="158" s="1"/>
  <c r="AM70" i="158" s="1"/>
  <c r="AP70" i="158" s="1"/>
  <c r="AS70" i="158" s="1"/>
  <c r="AV70" i="158" s="1"/>
  <c r="AY70" i="158" s="1"/>
  <c r="BB70" i="158" s="1"/>
  <c r="BE70" i="158" s="1"/>
  <c r="BH70" i="158" s="1"/>
  <c r="BK70" i="158" s="1"/>
  <c r="BN70" i="158" s="1"/>
  <c r="BQ70" i="158" s="1"/>
  <c r="BT70" i="158" s="1"/>
  <c r="BW70" i="158" s="1"/>
  <c r="BZ70" i="158" s="1"/>
  <c r="CC70" i="158" s="1"/>
  <c r="CF70" i="158" s="1"/>
  <c r="CI70" i="158" s="1"/>
  <c r="CL70" i="158" s="1"/>
  <c r="CO70" i="158" s="1"/>
  <c r="CR70" i="158" s="1"/>
  <c r="CU70" i="158" s="1"/>
  <c r="CW69" i="158"/>
  <c r="CV69" i="158"/>
  <c r="I69" i="158"/>
  <c r="L69" i="158" s="1"/>
  <c r="O69" i="158" s="1"/>
  <c r="R69" i="158" s="1"/>
  <c r="U69" i="158" s="1"/>
  <c r="X69" i="158" s="1"/>
  <c r="AA69" i="158" s="1"/>
  <c r="AD69" i="158" s="1"/>
  <c r="AG69" i="158" s="1"/>
  <c r="AJ69" i="158" s="1"/>
  <c r="AM69" i="158" s="1"/>
  <c r="AP69" i="158" s="1"/>
  <c r="AS69" i="158" s="1"/>
  <c r="AV69" i="158" s="1"/>
  <c r="AY69" i="158" s="1"/>
  <c r="BB69" i="158" s="1"/>
  <c r="BE69" i="158" s="1"/>
  <c r="BH69" i="158" s="1"/>
  <c r="BK69" i="158" s="1"/>
  <c r="BN69" i="158" s="1"/>
  <c r="BQ69" i="158" s="1"/>
  <c r="BT69" i="158" s="1"/>
  <c r="BW69" i="158" s="1"/>
  <c r="BZ69" i="158" s="1"/>
  <c r="CC69" i="158" s="1"/>
  <c r="CF69" i="158" s="1"/>
  <c r="CI69" i="158" s="1"/>
  <c r="CL69" i="158" s="1"/>
  <c r="CO69" i="158" s="1"/>
  <c r="CR69" i="158" s="1"/>
  <c r="CU69" i="158" s="1"/>
  <c r="CW68" i="158"/>
  <c r="CV68" i="158"/>
  <c r="I68" i="158"/>
  <c r="L68" i="158" s="1"/>
  <c r="O68" i="158" s="1"/>
  <c r="R68" i="158" s="1"/>
  <c r="U68" i="158" s="1"/>
  <c r="X68" i="158" s="1"/>
  <c r="AA68" i="158" s="1"/>
  <c r="AD68" i="158" s="1"/>
  <c r="AG68" i="158" s="1"/>
  <c r="AJ68" i="158" s="1"/>
  <c r="AM68" i="158" s="1"/>
  <c r="AP68" i="158" s="1"/>
  <c r="AS68" i="158" s="1"/>
  <c r="AV68" i="158" s="1"/>
  <c r="AY68" i="158" s="1"/>
  <c r="BB68" i="158" s="1"/>
  <c r="BE68" i="158" s="1"/>
  <c r="BH68" i="158" s="1"/>
  <c r="BK68" i="158" s="1"/>
  <c r="BN68" i="158" s="1"/>
  <c r="BQ68" i="158" s="1"/>
  <c r="BT68" i="158" s="1"/>
  <c r="BW68" i="158" s="1"/>
  <c r="BZ68" i="158" s="1"/>
  <c r="CC68" i="158" s="1"/>
  <c r="CF68" i="158" s="1"/>
  <c r="CI68" i="158" s="1"/>
  <c r="CL68" i="158" s="1"/>
  <c r="CO68" i="158" s="1"/>
  <c r="CR68" i="158" s="1"/>
  <c r="CU68" i="158" s="1"/>
  <c r="CW67" i="158"/>
  <c r="CV67" i="158"/>
  <c r="I67" i="158"/>
  <c r="L67" i="158" s="1"/>
  <c r="O67" i="158" s="1"/>
  <c r="R67" i="158" s="1"/>
  <c r="U67" i="158" s="1"/>
  <c r="X67" i="158" s="1"/>
  <c r="AA67" i="158" s="1"/>
  <c r="AD67" i="158" s="1"/>
  <c r="AG67" i="158" s="1"/>
  <c r="AJ67" i="158" s="1"/>
  <c r="AM67" i="158" s="1"/>
  <c r="AP67" i="158" s="1"/>
  <c r="AS67" i="158" s="1"/>
  <c r="AV67" i="158" s="1"/>
  <c r="AY67" i="158" s="1"/>
  <c r="BB67" i="158" s="1"/>
  <c r="BE67" i="158" s="1"/>
  <c r="BH67" i="158" s="1"/>
  <c r="BK67" i="158" s="1"/>
  <c r="BN67" i="158" s="1"/>
  <c r="BQ67" i="158" s="1"/>
  <c r="BT67" i="158" s="1"/>
  <c r="BW67" i="158" s="1"/>
  <c r="BZ67" i="158" s="1"/>
  <c r="CC67" i="158" s="1"/>
  <c r="CF67" i="158" s="1"/>
  <c r="CI67" i="158" s="1"/>
  <c r="CL67" i="158" s="1"/>
  <c r="CO67" i="158" s="1"/>
  <c r="CR67" i="158" s="1"/>
  <c r="CU67" i="158" s="1"/>
  <c r="CW66" i="158"/>
  <c r="CV66" i="158"/>
  <c r="I66" i="158"/>
  <c r="L66" i="158" s="1"/>
  <c r="O66" i="158" s="1"/>
  <c r="R66" i="158" s="1"/>
  <c r="U66" i="158" s="1"/>
  <c r="X66" i="158" s="1"/>
  <c r="AA66" i="158" s="1"/>
  <c r="AD66" i="158" s="1"/>
  <c r="AG66" i="158" s="1"/>
  <c r="AJ66" i="158" s="1"/>
  <c r="AM66" i="158" s="1"/>
  <c r="AP66" i="158" s="1"/>
  <c r="AS66" i="158" s="1"/>
  <c r="AV66" i="158" s="1"/>
  <c r="AY66" i="158" s="1"/>
  <c r="BB66" i="158" s="1"/>
  <c r="BE66" i="158" s="1"/>
  <c r="BH66" i="158" s="1"/>
  <c r="BK66" i="158" s="1"/>
  <c r="BN66" i="158" s="1"/>
  <c r="BQ66" i="158" s="1"/>
  <c r="BT66" i="158" s="1"/>
  <c r="BW66" i="158" s="1"/>
  <c r="BZ66" i="158" s="1"/>
  <c r="CC66" i="158" s="1"/>
  <c r="CF66" i="158" s="1"/>
  <c r="CI66" i="158" s="1"/>
  <c r="CL66" i="158" s="1"/>
  <c r="CO66" i="158" s="1"/>
  <c r="CR66" i="158" s="1"/>
  <c r="CU66" i="158" s="1"/>
  <c r="CW65" i="158"/>
  <c r="CV65" i="158"/>
  <c r="I65" i="158"/>
  <c r="L65" i="158" s="1"/>
  <c r="O65" i="158" s="1"/>
  <c r="R65" i="158" s="1"/>
  <c r="U65" i="158" s="1"/>
  <c r="X65" i="158" s="1"/>
  <c r="AA65" i="158" s="1"/>
  <c r="AD65" i="158" s="1"/>
  <c r="AG65" i="158" s="1"/>
  <c r="AJ65" i="158" s="1"/>
  <c r="AM65" i="158" s="1"/>
  <c r="AP65" i="158" s="1"/>
  <c r="AS65" i="158" s="1"/>
  <c r="AV65" i="158" s="1"/>
  <c r="AY65" i="158" s="1"/>
  <c r="BB65" i="158" s="1"/>
  <c r="BE65" i="158" s="1"/>
  <c r="BH65" i="158" s="1"/>
  <c r="BK65" i="158" s="1"/>
  <c r="BN65" i="158" s="1"/>
  <c r="BQ65" i="158" s="1"/>
  <c r="BT65" i="158" s="1"/>
  <c r="BW65" i="158" s="1"/>
  <c r="BZ65" i="158" s="1"/>
  <c r="CC65" i="158" s="1"/>
  <c r="CF65" i="158" s="1"/>
  <c r="CI65" i="158" s="1"/>
  <c r="CL65" i="158" s="1"/>
  <c r="CO65" i="158" s="1"/>
  <c r="CR65" i="158" s="1"/>
  <c r="CU65" i="158" s="1"/>
  <c r="CW64" i="158"/>
  <c r="CV64" i="158"/>
  <c r="I64" i="158"/>
  <c r="L64" i="158" s="1"/>
  <c r="O64" i="158" s="1"/>
  <c r="R64" i="158" s="1"/>
  <c r="U64" i="158" s="1"/>
  <c r="X64" i="158" s="1"/>
  <c r="AA64" i="158" s="1"/>
  <c r="AD64" i="158" s="1"/>
  <c r="AG64" i="158" s="1"/>
  <c r="AJ64" i="158" s="1"/>
  <c r="AM64" i="158" s="1"/>
  <c r="AP64" i="158" s="1"/>
  <c r="AS64" i="158" s="1"/>
  <c r="AV64" i="158" s="1"/>
  <c r="AY64" i="158" s="1"/>
  <c r="BB64" i="158" s="1"/>
  <c r="BE64" i="158" s="1"/>
  <c r="BH64" i="158" s="1"/>
  <c r="BK64" i="158" s="1"/>
  <c r="BN64" i="158" s="1"/>
  <c r="BQ64" i="158" s="1"/>
  <c r="BT64" i="158" s="1"/>
  <c r="BW64" i="158" s="1"/>
  <c r="BZ64" i="158" s="1"/>
  <c r="CC64" i="158" s="1"/>
  <c r="CF64" i="158" s="1"/>
  <c r="CI64" i="158" s="1"/>
  <c r="CL64" i="158" s="1"/>
  <c r="CO64" i="158" s="1"/>
  <c r="CR64" i="158" s="1"/>
  <c r="CU64" i="158" s="1"/>
  <c r="CV63" i="158"/>
  <c r="I63" i="158"/>
  <c r="CW62" i="158"/>
  <c r="CV62" i="158"/>
  <c r="I62" i="158"/>
  <c r="L62" i="158" s="1"/>
  <c r="O62" i="158" s="1"/>
  <c r="R62" i="158" s="1"/>
  <c r="U62" i="158" s="1"/>
  <c r="X62" i="158" s="1"/>
  <c r="AA62" i="158" s="1"/>
  <c r="AD62" i="158" s="1"/>
  <c r="AG62" i="158" s="1"/>
  <c r="AJ62" i="158" s="1"/>
  <c r="AM62" i="158" s="1"/>
  <c r="AP62" i="158" s="1"/>
  <c r="AS62" i="158" s="1"/>
  <c r="AV62" i="158" s="1"/>
  <c r="AY62" i="158" s="1"/>
  <c r="BB62" i="158" s="1"/>
  <c r="BE62" i="158" s="1"/>
  <c r="BH62" i="158" s="1"/>
  <c r="BK62" i="158" s="1"/>
  <c r="BN62" i="158" s="1"/>
  <c r="BQ62" i="158" s="1"/>
  <c r="BT62" i="158" s="1"/>
  <c r="BW62" i="158" s="1"/>
  <c r="BZ62" i="158" s="1"/>
  <c r="CC62" i="158" s="1"/>
  <c r="CF62" i="158" s="1"/>
  <c r="CI62" i="158" s="1"/>
  <c r="CL62" i="158" s="1"/>
  <c r="CO62" i="158" s="1"/>
  <c r="CR62" i="158" s="1"/>
  <c r="CU62" i="158" s="1"/>
  <c r="CW61" i="158"/>
  <c r="CV61" i="158"/>
  <c r="I61" i="158"/>
  <c r="L61" i="158" s="1"/>
  <c r="O61" i="158" s="1"/>
  <c r="R61" i="158" s="1"/>
  <c r="U61" i="158" s="1"/>
  <c r="X61" i="158" s="1"/>
  <c r="AA61" i="158" s="1"/>
  <c r="AD61" i="158" s="1"/>
  <c r="AG61" i="158" s="1"/>
  <c r="AJ61" i="158" s="1"/>
  <c r="AM61" i="158" s="1"/>
  <c r="AP61" i="158" s="1"/>
  <c r="AS61" i="158" s="1"/>
  <c r="AV61" i="158" s="1"/>
  <c r="AY61" i="158" s="1"/>
  <c r="BB61" i="158" s="1"/>
  <c r="BE61" i="158" s="1"/>
  <c r="BH61" i="158" s="1"/>
  <c r="BK61" i="158" s="1"/>
  <c r="BN61" i="158" s="1"/>
  <c r="BQ61" i="158" s="1"/>
  <c r="BT61" i="158" s="1"/>
  <c r="BW61" i="158" s="1"/>
  <c r="BZ61" i="158" s="1"/>
  <c r="CC61" i="158" s="1"/>
  <c r="CF61" i="158" s="1"/>
  <c r="CI61" i="158" s="1"/>
  <c r="CL61" i="158" s="1"/>
  <c r="CO61" i="158" s="1"/>
  <c r="CR61" i="158" s="1"/>
  <c r="CU61" i="158" s="1"/>
  <c r="CW60" i="158"/>
  <c r="CV60" i="158"/>
  <c r="I60" i="158"/>
  <c r="CV59" i="158"/>
  <c r="I59" i="158"/>
  <c r="L59" i="158" s="1"/>
  <c r="O59" i="158" s="1"/>
  <c r="R59" i="158" s="1"/>
  <c r="U59" i="158" s="1"/>
  <c r="X59" i="158" s="1"/>
  <c r="AA59" i="158" s="1"/>
  <c r="AD59" i="158" s="1"/>
  <c r="AG59" i="158" s="1"/>
  <c r="AJ59" i="158" s="1"/>
  <c r="AM59" i="158" s="1"/>
  <c r="AP59" i="158" s="1"/>
  <c r="AS59" i="158" s="1"/>
  <c r="AV59" i="158" s="1"/>
  <c r="AY59" i="158" s="1"/>
  <c r="BB59" i="158" s="1"/>
  <c r="BE59" i="158" s="1"/>
  <c r="BH59" i="158" s="1"/>
  <c r="BK59" i="158" s="1"/>
  <c r="BN59" i="158" s="1"/>
  <c r="BQ59" i="158" s="1"/>
  <c r="BT59" i="158" s="1"/>
  <c r="BW59" i="158" s="1"/>
  <c r="BZ59" i="158" s="1"/>
  <c r="CC59" i="158" s="1"/>
  <c r="CF59" i="158" s="1"/>
  <c r="CI59" i="158" s="1"/>
  <c r="CL59" i="158" s="1"/>
  <c r="CO59" i="158" s="1"/>
  <c r="CR59" i="158" s="1"/>
  <c r="CU59" i="158" s="1"/>
  <c r="CV58" i="158"/>
  <c r="I58" i="158"/>
  <c r="CW58" i="158"/>
  <c r="CW57" i="158"/>
  <c r="CV57" i="158"/>
  <c r="I57" i="158"/>
  <c r="L57" i="158" s="1"/>
  <c r="O57" i="158" s="1"/>
  <c r="R57" i="158" s="1"/>
  <c r="U57" i="158" s="1"/>
  <c r="X57" i="158" s="1"/>
  <c r="AA57" i="158" s="1"/>
  <c r="AD57" i="158" s="1"/>
  <c r="AG57" i="158" s="1"/>
  <c r="AJ57" i="158" s="1"/>
  <c r="AM57" i="158" s="1"/>
  <c r="AP57" i="158" s="1"/>
  <c r="AS57" i="158" s="1"/>
  <c r="AV57" i="158" s="1"/>
  <c r="AY57" i="158" s="1"/>
  <c r="BB57" i="158" s="1"/>
  <c r="BE57" i="158" s="1"/>
  <c r="BH57" i="158" s="1"/>
  <c r="BK57" i="158" s="1"/>
  <c r="BN57" i="158" s="1"/>
  <c r="BQ57" i="158" s="1"/>
  <c r="BT57" i="158" s="1"/>
  <c r="BW57" i="158" s="1"/>
  <c r="BZ57" i="158" s="1"/>
  <c r="CC57" i="158" s="1"/>
  <c r="CF57" i="158" s="1"/>
  <c r="CI57" i="158" s="1"/>
  <c r="CL57" i="158" s="1"/>
  <c r="CO57" i="158" s="1"/>
  <c r="CR57" i="158" s="1"/>
  <c r="CU57" i="158" s="1"/>
  <c r="CW56" i="158"/>
  <c r="CV56" i="158"/>
  <c r="I56" i="158"/>
  <c r="L56" i="158" s="1"/>
  <c r="O56" i="158" s="1"/>
  <c r="R56" i="158" s="1"/>
  <c r="U56" i="158" s="1"/>
  <c r="X56" i="158" s="1"/>
  <c r="AA56" i="158" s="1"/>
  <c r="AD56" i="158" s="1"/>
  <c r="AG56" i="158" s="1"/>
  <c r="AJ56" i="158" s="1"/>
  <c r="AM56" i="158" s="1"/>
  <c r="AP56" i="158" s="1"/>
  <c r="AS56" i="158" s="1"/>
  <c r="AV56" i="158" s="1"/>
  <c r="AY56" i="158" s="1"/>
  <c r="BB56" i="158" s="1"/>
  <c r="BE56" i="158" s="1"/>
  <c r="BH56" i="158" s="1"/>
  <c r="BK56" i="158" s="1"/>
  <c r="BN56" i="158" s="1"/>
  <c r="BQ56" i="158" s="1"/>
  <c r="BT56" i="158" s="1"/>
  <c r="BW56" i="158" s="1"/>
  <c r="BZ56" i="158" s="1"/>
  <c r="CC56" i="158" s="1"/>
  <c r="CF56" i="158" s="1"/>
  <c r="CI56" i="158" s="1"/>
  <c r="CL56" i="158" s="1"/>
  <c r="CO56" i="158" s="1"/>
  <c r="CR56" i="158" s="1"/>
  <c r="CU56" i="158" s="1"/>
  <c r="CV55" i="158"/>
  <c r="CW55" i="158"/>
  <c r="I55" i="158"/>
  <c r="L55" i="158" s="1"/>
  <c r="O55" i="158" s="1"/>
  <c r="R55" i="158" s="1"/>
  <c r="U55" i="158" s="1"/>
  <c r="X55" i="158" s="1"/>
  <c r="AA55" i="158" s="1"/>
  <c r="AD55" i="158" s="1"/>
  <c r="AG55" i="158" s="1"/>
  <c r="AJ55" i="158" s="1"/>
  <c r="AM55" i="158" s="1"/>
  <c r="AP55" i="158" s="1"/>
  <c r="AS55" i="158" s="1"/>
  <c r="AV55" i="158" s="1"/>
  <c r="AY55" i="158" s="1"/>
  <c r="BB55" i="158" s="1"/>
  <c r="BE55" i="158" s="1"/>
  <c r="BH55" i="158" s="1"/>
  <c r="BK55" i="158" s="1"/>
  <c r="BN55" i="158" s="1"/>
  <c r="BQ55" i="158" s="1"/>
  <c r="BT55" i="158" s="1"/>
  <c r="BW55" i="158" s="1"/>
  <c r="BZ55" i="158" s="1"/>
  <c r="CC55" i="158" s="1"/>
  <c r="CF55" i="158" s="1"/>
  <c r="CI55" i="158" s="1"/>
  <c r="CL55" i="158" s="1"/>
  <c r="CO55" i="158" s="1"/>
  <c r="CR55" i="158" s="1"/>
  <c r="CU55" i="158" s="1"/>
  <c r="CW54" i="158"/>
  <c r="CV54" i="158"/>
  <c r="I54" i="158"/>
  <c r="L54" i="158" s="1"/>
  <c r="O54" i="158" s="1"/>
  <c r="R54" i="158" s="1"/>
  <c r="U54" i="158" s="1"/>
  <c r="X54" i="158" s="1"/>
  <c r="AA54" i="158" s="1"/>
  <c r="AD54" i="158" s="1"/>
  <c r="AG54" i="158" s="1"/>
  <c r="AJ54" i="158" s="1"/>
  <c r="AM54" i="158" s="1"/>
  <c r="AP54" i="158" s="1"/>
  <c r="AS54" i="158" s="1"/>
  <c r="AV54" i="158" s="1"/>
  <c r="AY54" i="158" s="1"/>
  <c r="BB54" i="158" s="1"/>
  <c r="BE54" i="158" s="1"/>
  <c r="BH54" i="158" s="1"/>
  <c r="BK54" i="158" s="1"/>
  <c r="BN54" i="158" s="1"/>
  <c r="BQ54" i="158" s="1"/>
  <c r="BT54" i="158" s="1"/>
  <c r="BW54" i="158" s="1"/>
  <c r="BZ54" i="158" s="1"/>
  <c r="CC54" i="158" s="1"/>
  <c r="CF54" i="158" s="1"/>
  <c r="CI54" i="158" s="1"/>
  <c r="CL54" i="158" s="1"/>
  <c r="CO54" i="158" s="1"/>
  <c r="CR54" i="158" s="1"/>
  <c r="CU54" i="158" s="1"/>
  <c r="CW53" i="158"/>
  <c r="CV53" i="158"/>
  <c r="I53" i="158"/>
  <c r="L53" i="158" s="1"/>
  <c r="O53" i="158" s="1"/>
  <c r="R53" i="158" s="1"/>
  <c r="U53" i="158" s="1"/>
  <c r="X53" i="158" s="1"/>
  <c r="AA53" i="158" s="1"/>
  <c r="AD53" i="158" s="1"/>
  <c r="AG53" i="158" s="1"/>
  <c r="AJ53" i="158" s="1"/>
  <c r="AM53" i="158" s="1"/>
  <c r="AP53" i="158" s="1"/>
  <c r="AS53" i="158" s="1"/>
  <c r="AV53" i="158" s="1"/>
  <c r="AY53" i="158" s="1"/>
  <c r="BB53" i="158" s="1"/>
  <c r="BE53" i="158" s="1"/>
  <c r="BH53" i="158" s="1"/>
  <c r="BK53" i="158" s="1"/>
  <c r="BN53" i="158" s="1"/>
  <c r="BQ53" i="158" s="1"/>
  <c r="BT53" i="158" s="1"/>
  <c r="BW53" i="158" s="1"/>
  <c r="BZ53" i="158" s="1"/>
  <c r="CC53" i="158" s="1"/>
  <c r="CF53" i="158" s="1"/>
  <c r="CI53" i="158" s="1"/>
  <c r="CL53" i="158" s="1"/>
  <c r="CO53" i="158" s="1"/>
  <c r="CR53" i="158" s="1"/>
  <c r="CU53" i="158" s="1"/>
  <c r="CW52" i="158"/>
  <c r="CV52" i="158"/>
  <c r="I52" i="158"/>
  <c r="L52" i="158" s="1"/>
  <c r="O52" i="158" s="1"/>
  <c r="R52" i="158" s="1"/>
  <c r="U52" i="158" s="1"/>
  <c r="X52" i="158" s="1"/>
  <c r="AA52" i="158" s="1"/>
  <c r="AD52" i="158" s="1"/>
  <c r="AG52" i="158" s="1"/>
  <c r="AJ52" i="158" s="1"/>
  <c r="AM52" i="158" s="1"/>
  <c r="AP52" i="158" s="1"/>
  <c r="AS52" i="158" s="1"/>
  <c r="AV52" i="158" s="1"/>
  <c r="AY52" i="158" s="1"/>
  <c r="BB52" i="158" s="1"/>
  <c r="BE52" i="158" s="1"/>
  <c r="BH52" i="158" s="1"/>
  <c r="BK52" i="158" s="1"/>
  <c r="BN52" i="158" s="1"/>
  <c r="BQ52" i="158" s="1"/>
  <c r="BT52" i="158" s="1"/>
  <c r="BW52" i="158" s="1"/>
  <c r="BZ52" i="158" s="1"/>
  <c r="CC52" i="158" s="1"/>
  <c r="CF52" i="158" s="1"/>
  <c r="CI52" i="158" s="1"/>
  <c r="CL52" i="158" s="1"/>
  <c r="CO52" i="158" s="1"/>
  <c r="CR52" i="158" s="1"/>
  <c r="CU52" i="158" s="1"/>
  <c r="CW51" i="158"/>
  <c r="CV51" i="158"/>
  <c r="I51" i="158"/>
  <c r="L51" i="158" s="1"/>
  <c r="O51" i="158" s="1"/>
  <c r="R51" i="158" s="1"/>
  <c r="U51" i="158" s="1"/>
  <c r="X51" i="158" s="1"/>
  <c r="AA51" i="158" s="1"/>
  <c r="AD51" i="158" s="1"/>
  <c r="AG51" i="158" s="1"/>
  <c r="AJ51" i="158" s="1"/>
  <c r="AM51" i="158" s="1"/>
  <c r="AP51" i="158" s="1"/>
  <c r="AS51" i="158" s="1"/>
  <c r="AV51" i="158" s="1"/>
  <c r="AY51" i="158" s="1"/>
  <c r="BB51" i="158" s="1"/>
  <c r="BE51" i="158" s="1"/>
  <c r="BH51" i="158" s="1"/>
  <c r="BK51" i="158" s="1"/>
  <c r="BN51" i="158" s="1"/>
  <c r="BQ51" i="158" s="1"/>
  <c r="BT51" i="158" s="1"/>
  <c r="BW51" i="158" s="1"/>
  <c r="BZ51" i="158" s="1"/>
  <c r="CC51" i="158" s="1"/>
  <c r="CF51" i="158" s="1"/>
  <c r="CI51" i="158" s="1"/>
  <c r="CL51" i="158" s="1"/>
  <c r="CO51" i="158" s="1"/>
  <c r="CR51" i="158" s="1"/>
  <c r="CU51" i="158" s="1"/>
  <c r="CW50" i="158"/>
  <c r="CV50" i="158"/>
  <c r="I50" i="158"/>
  <c r="L50" i="158" s="1"/>
  <c r="O50" i="158" s="1"/>
  <c r="R50" i="158" s="1"/>
  <c r="U50" i="158" s="1"/>
  <c r="X50" i="158" s="1"/>
  <c r="AA50" i="158" s="1"/>
  <c r="AD50" i="158" s="1"/>
  <c r="AG50" i="158" s="1"/>
  <c r="AJ50" i="158" s="1"/>
  <c r="AM50" i="158" s="1"/>
  <c r="AP50" i="158" s="1"/>
  <c r="AS50" i="158" s="1"/>
  <c r="AV50" i="158" s="1"/>
  <c r="AY50" i="158" s="1"/>
  <c r="BB50" i="158" s="1"/>
  <c r="BE50" i="158" s="1"/>
  <c r="BH50" i="158" s="1"/>
  <c r="BK50" i="158" s="1"/>
  <c r="BN50" i="158" s="1"/>
  <c r="BQ50" i="158" s="1"/>
  <c r="BT50" i="158" s="1"/>
  <c r="BW50" i="158" s="1"/>
  <c r="BZ50" i="158" s="1"/>
  <c r="CC50" i="158" s="1"/>
  <c r="CF50" i="158" s="1"/>
  <c r="CI50" i="158" s="1"/>
  <c r="CL50" i="158" s="1"/>
  <c r="CO50" i="158" s="1"/>
  <c r="CR50" i="158" s="1"/>
  <c r="CU50" i="158" s="1"/>
  <c r="CW49" i="158"/>
  <c r="CV49" i="158"/>
  <c r="I49" i="158"/>
  <c r="L49" i="158" s="1"/>
  <c r="O49" i="158" s="1"/>
  <c r="R49" i="158" s="1"/>
  <c r="U49" i="158" s="1"/>
  <c r="X49" i="158" s="1"/>
  <c r="AA49" i="158" s="1"/>
  <c r="AD49" i="158" s="1"/>
  <c r="AG49" i="158" s="1"/>
  <c r="AJ49" i="158" s="1"/>
  <c r="AM49" i="158" s="1"/>
  <c r="AP49" i="158" s="1"/>
  <c r="AS49" i="158" s="1"/>
  <c r="AV49" i="158" s="1"/>
  <c r="AY49" i="158" s="1"/>
  <c r="BB49" i="158" s="1"/>
  <c r="BE49" i="158" s="1"/>
  <c r="BH49" i="158" s="1"/>
  <c r="BK49" i="158" s="1"/>
  <c r="BN49" i="158" s="1"/>
  <c r="BQ49" i="158" s="1"/>
  <c r="BT49" i="158" s="1"/>
  <c r="BW49" i="158" s="1"/>
  <c r="BZ49" i="158" s="1"/>
  <c r="CC49" i="158" s="1"/>
  <c r="CF49" i="158" s="1"/>
  <c r="CI49" i="158" s="1"/>
  <c r="CL49" i="158" s="1"/>
  <c r="CO49" i="158" s="1"/>
  <c r="CR49" i="158" s="1"/>
  <c r="CU49" i="158" s="1"/>
  <c r="CV48" i="158"/>
  <c r="I48" i="158"/>
  <c r="L48" i="158" s="1"/>
  <c r="O48" i="158" s="1"/>
  <c r="R48" i="158" s="1"/>
  <c r="U48" i="158" s="1"/>
  <c r="X48" i="158" s="1"/>
  <c r="AA48" i="158" s="1"/>
  <c r="AD48" i="158" s="1"/>
  <c r="AG48" i="158" s="1"/>
  <c r="AJ48" i="158" s="1"/>
  <c r="AM48" i="158" s="1"/>
  <c r="AP48" i="158" s="1"/>
  <c r="AS48" i="158" s="1"/>
  <c r="AV48" i="158" s="1"/>
  <c r="AY48" i="158" s="1"/>
  <c r="BB48" i="158" s="1"/>
  <c r="BE48" i="158" s="1"/>
  <c r="BH48" i="158" s="1"/>
  <c r="BK48" i="158" s="1"/>
  <c r="BN48" i="158" s="1"/>
  <c r="BQ48" i="158" s="1"/>
  <c r="BT48" i="158" s="1"/>
  <c r="BW48" i="158" s="1"/>
  <c r="BZ48" i="158" s="1"/>
  <c r="CC48" i="158" s="1"/>
  <c r="CF48" i="158" s="1"/>
  <c r="CI48" i="158" s="1"/>
  <c r="CL48" i="158" s="1"/>
  <c r="CO48" i="158" s="1"/>
  <c r="CR48" i="158" s="1"/>
  <c r="CU48" i="158" s="1"/>
  <c r="CW47" i="158"/>
  <c r="CV47" i="158"/>
  <c r="I47" i="158"/>
  <c r="L47" i="158" s="1"/>
  <c r="O47" i="158" s="1"/>
  <c r="R47" i="158" s="1"/>
  <c r="U47" i="158" s="1"/>
  <c r="X47" i="158" s="1"/>
  <c r="AA47" i="158" s="1"/>
  <c r="AD47" i="158" s="1"/>
  <c r="AG47" i="158" s="1"/>
  <c r="AJ47" i="158" s="1"/>
  <c r="AM47" i="158" s="1"/>
  <c r="AP47" i="158" s="1"/>
  <c r="AS47" i="158" s="1"/>
  <c r="AV47" i="158" s="1"/>
  <c r="AY47" i="158" s="1"/>
  <c r="BB47" i="158" s="1"/>
  <c r="BE47" i="158" s="1"/>
  <c r="BH47" i="158" s="1"/>
  <c r="BK47" i="158" s="1"/>
  <c r="BN47" i="158" s="1"/>
  <c r="BQ47" i="158" s="1"/>
  <c r="BT47" i="158" s="1"/>
  <c r="BW47" i="158" s="1"/>
  <c r="BZ47" i="158" s="1"/>
  <c r="CC47" i="158" s="1"/>
  <c r="CF47" i="158" s="1"/>
  <c r="CI47" i="158" s="1"/>
  <c r="CL47" i="158" s="1"/>
  <c r="CO47" i="158" s="1"/>
  <c r="CR47" i="158" s="1"/>
  <c r="CU47" i="158" s="1"/>
  <c r="CV46" i="158"/>
  <c r="CW46" i="158"/>
  <c r="I46" i="158"/>
  <c r="L46" i="158" s="1"/>
  <c r="O46" i="158" s="1"/>
  <c r="R46" i="158" s="1"/>
  <c r="U46" i="158" s="1"/>
  <c r="X46" i="158" s="1"/>
  <c r="AA46" i="158" s="1"/>
  <c r="AD46" i="158" s="1"/>
  <c r="AG46" i="158" s="1"/>
  <c r="AJ46" i="158" s="1"/>
  <c r="AM46" i="158" s="1"/>
  <c r="AP46" i="158" s="1"/>
  <c r="AS46" i="158" s="1"/>
  <c r="AV46" i="158" s="1"/>
  <c r="AY46" i="158" s="1"/>
  <c r="BB46" i="158" s="1"/>
  <c r="BE46" i="158" s="1"/>
  <c r="BH46" i="158" s="1"/>
  <c r="BK46" i="158" s="1"/>
  <c r="BN46" i="158" s="1"/>
  <c r="BQ46" i="158" s="1"/>
  <c r="BT46" i="158" s="1"/>
  <c r="BW46" i="158" s="1"/>
  <c r="BZ46" i="158" s="1"/>
  <c r="CC46" i="158" s="1"/>
  <c r="CF46" i="158" s="1"/>
  <c r="CI46" i="158" s="1"/>
  <c r="CL46" i="158" s="1"/>
  <c r="CO46" i="158" s="1"/>
  <c r="CR46" i="158" s="1"/>
  <c r="CU46" i="158" s="1"/>
  <c r="CV45" i="158"/>
  <c r="CW45" i="158"/>
  <c r="I45" i="158"/>
  <c r="L45" i="158" s="1"/>
  <c r="O45" i="158" s="1"/>
  <c r="R45" i="158" s="1"/>
  <c r="U45" i="158" s="1"/>
  <c r="X45" i="158" s="1"/>
  <c r="AA45" i="158" s="1"/>
  <c r="AD45" i="158" s="1"/>
  <c r="AG45" i="158" s="1"/>
  <c r="AJ45" i="158" s="1"/>
  <c r="AM45" i="158" s="1"/>
  <c r="AP45" i="158" s="1"/>
  <c r="AS45" i="158" s="1"/>
  <c r="AV45" i="158" s="1"/>
  <c r="AY45" i="158" s="1"/>
  <c r="BB45" i="158" s="1"/>
  <c r="BE45" i="158" s="1"/>
  <c r="BH45" i="158" s="1"/>
  <c r="BK45" i="158" s="1"/>
  <c r="BN45" i="158" s="1"/>
  <c r="BQ45" i="158" s="1"/>
  <c r="BT45" i="158" s="1"/>
  <c r="BW45" i="158" s="1"/>
  <c r="BZ45" i="158" s="1"/>
  <c r="CC45" i="158" s="1"/>
  <c r="CF45" i="158" s="1"/>
  <c r="CI45" i="158" s="1"/>
  <c r="CL45" i="158" s="1"/>
  <c r="CO45" i="158" s="1"/>
  <c r="CR45" i="158" s="1"/>
  <c r="CU45" i="158" s="1"/>
  <c r="CW44" i="158"/>
  <c r="CV44" i="158"/>
  <c r="I44" i="158"/>
  <c r="L44" i="158" s="1"/>
  <c r="O44" i="158" s="1"/>
  <c r="R44" i="158" s="1"/>
  <c r="U44" i="158" s="1"/>
  <c r="X44" i="158" s="1"/>
  <c r="AA44" i="158" s="1"/>
  <c r="AD44" i="158" s="1"/>
  <c r="AG44" i="158" s="1"/>
  <c r="AJ44" i="158" s="1"/>
  <c r="AM44" i="158" s="1"/>
  <c r="AP44" i="158" s="1"/>
  <c r="AS44" i="158" s="1"/>
  <c r="AV44" i="158" s="1"/>
  <c r="AY44" i="158" s="1"/>
  <c r="BB44" i="158" s="1"/>
  <c r="BE44" i="158" s="1"/>
  <c r="BH44" i="158" s="1"/>
  <c r="BK44" i="158" s="1"/>
  <c r="BN44" i="158" s="1"/>
  <c r="BQ44" i="158" s="1"/>
  <c r="BT44" i="158" s="1"/>
  <c r="BW44" i="158" s="1"/>
  <c r="BZ44" i="158" s="1"/>
  <c r="CC44" i="158" s="1"/>
  <c r="CF44" i="158" s="1"/>
  <c r="CI44" i="158" s="1"/>
  <c r="CL44" i="158" s="1"/>
  <c r="CO44" i="158" s="1"/>
  <c r="CR44" i="158" s="1"/>
  <c r="CU44" i="158" s="1"/>
  <c r="CV43" i="158"/>
  <c r="I43" i="158"/>
  <c r="L43" i="158" s="1"/>
  <c r="O43" i="158" s="1"/>
  <c r="R43" i="158" s="1"/>
  <c r="U43" i="158" s="1"/>
  <c r="X43" i="158" s="1"/>
  <c r="AA43" i="158" s="1"/>
  <c r="AD43" i="158" s="1"/>
  <c r="AG43" i="158" s="1"/>
  <c r="AJ43" i="158" s="1"/>
  <c r="AM43" i="158" s="1"/>
  <c r="AP43" i="158" s="1"/>
  <c r="AS43" i="158" s="1"/>
  <c r="AV43" i="158" s="1"/>
  <c r="AY43" i="158" s="1"/>
  <c r="BB43" i="158" s="1"/>
  <c r="BE43" i="158" s="1"/>
  <c r="BH43" i="158" s="1"/>
  <c r="BK43" i="158" s="1"/>
  <c r="BN43" i="158" s="1"/>
  <c r="BQ43" i="158" s="1"/>
  <c r="BT43" i="158" s="1"/>
  <c r="BW43" i="158" s="1"/>
  <c r="BZ43" i="158" s="1"/>
  <c r="CC43" i="158" s="1"/>
  <c r="CF43" i="158" s="1"/>
  <c r="CI43" i="158" s="1"/>
  <c r="CL43" i="158" s="1"/>
  <c r="CO43" i="158" s="1"/>
  <c r="CR43" i="158" s="1"/>
  <c r="CU43" i="158" s="1"/>
  <c r="CW42" i="158"/>
  <c r="CV42" i="158"/>
  <c r="I42" i="158"/>
  <c r="L42" i="158" s="1"/>
  <c r="O42" i="158" s="1"/>
  <c r="R42" i="158" s="1"/>
  <c r="U42" i="158" s="1"/>
  <c r="X42" i="158" s="1"/>
  <c r="AA42" i="158" s="1"/>
  <c r="AD42" i="158" s="1"/>
  <c r="AG42" i="158" s="1"/>
  <c r="AJ42" i="158" s="1"/>
  <c r="AM42" i="158" s="1"/>
  <c r="AP42" i="158" s="1"/>
  <c r="AS42" i="158" s="1"/>
  <c r="AV42" i="158" s="1"/>
  <c r="AY42" i="158" s="1"/>
  <c r="BB42" i="158" s="1"/>
  <c r="BE42" i="158" s="1"/>
  <c r="BH42" i="158" s="1"/>
  <c r="BK42" i="158" s="1"/>
  <c r="BN42" i="158" s="1"/>
  <c r="BQ42" i="158" s="1"/>
  <c r="BT42" i="158" s="1"/>
  <c r="BW42" i="158" s="1"/>
  <c r="BZ42" i="158" s="1"/>
  <c r="CC42" i="158" s="1"/>
  <c r="CF42" i="158" s="1"/>
  <c r="CI42" i="158" s="1"/>
  <c r="CL42" i="158" s="1"/>
  <c r="CO42" i="158" s="1"/>
  <c r="CR42" i="158" s="1"/>
  <c r="CU42" i="158" s="1"/>
  <c r="CW41" i="158"/>
  <c r="CV41" i="158"/>
  <c r="I41" i="158"/>
  <c r="L41" i="158" s="1"/>
  <c r="O41" i="158" s="1"/>
  <c r="R41" i="158" s="1"/>
  <c r="U41" i="158" s="1"/>
  <c r="X41" i="158" s="1"/>
  <c r="AA41" i="158" s="1"/>
  <c r="AD41" i="158" s="1"/>
  <c r="AG41" i="158" s="1"/>
  <c r="AJ41" i="158" s="1"/>
  <c r="AM41" i="158" s="1"/>
  <c r="AP41" i="158" s="1"/>
  <c r="AS41" i="158" s="1"/>
  <c r="AV41" i="158" s="1"/>
  <c r="AY41" i="158" s="1"/>
  <c r="BB41" i="158" s="1"/>
  <c r="BE41" i="158" s="1"/>
  <c r="BH41" i="158" s="1"/>
  <c r="BK41" i="158" s="1"/>
  <c r="BN41" i="158" s="1"/>
  <c r="BQ41" i="158" s="1"/>
  <c r="BT41" i="158" s="1"/>
  <c r="BW41" i="158" s="1"/>
  <c r="BZ41" i="158" s="1"/>
  <c r="CC41" i="158" s="1"/>
  <c r="CF41" i="158" s="1"/>
  <c r="CI41" i="158" s="1"/>
  <c r="CL41" i="158" s="1"/>
  <c r="CO41" i="158" s="1"/>
  <c r="CR41" i="158" s="1"/>
  <c r="CU41" i="158" s="1"/>
  <c r="CV40" i="158"/>
  <c r="CW39" i="158"/>
  <c r="I39" i="158"/>
  <c r="L39" i="158" s="1"/>
  <c r="CW38" i="158"/>
  <c r="CV38" i="158"/>
  <c r="I38" i="158"/>
  <c r="L38" i="158" s="1"/>
  <c r="O38" i="158" s="1"/>
  <c r="R38" i="158" s="1"/>
  <c r="U38" i="158" s="1"/>
  <c r="X38" i="158" s="1"/>
  <c r="AA38" i="158" s="1"/>
  <c r="AD38" i="158" s="1"/>
  <c r="AG38" i="158" s="1"/>
  <c r="AJ38" i="158" s="1"/>
  <c r="AM38" i="158" s="1"/>
  <c r="AP38" i="158" s="1"/>
  <c r="AS38" i="158" s="1"/>
  <c r="AV38" i="158" s="1"/>
  <c r="AY38" i="158" s="1"/>
  <c r="BB38" i="158" s="1"/>
  <c r="BE38" i="158" s="1"/>
  <c r="BH38" i="158" s="1"/>
  <c r="BK38" i="158" s="1"/>
  <c r="BN38" i="158" s="1"/>
  <c r="BQ38" i="158" s="1"/>
  <c r="BT38" i="158" s="1"/>
  <c r="BW38" i="158" s="1"/>
  <c r="BZ38" i="158" s="1"/>
  <c r="CC38" i="158" s="1"/>
  <c r="CF38" i="158" s="1"/>
  <c r="CI38" i="158" s="1"/>
  <c r="CL38" i="158" s="1"/>
  <c r="CO38" i="158" s="1"/>
  <c r="CR38" i="158" s="1"/>
  <c r="CU38" i="158" s="1"/>
  <c r="CW37" i="158"/>
  <c r="CV37" i="158"/>
  <c r="I37" i="158"/>
  <c r="L37" i="158" s="1"/>
  <c r="O37" i="158" s="1"/>
  <c r="R37" i="158" s="1"/>
  <c r="U37" i="158" s="1"/>
  <c r="X37" i="158" s="1"/>
  <c r="AA37" i="158" s="1"/>
  <c r="AD37" i="158" s="1"/>
  <c r="AG37" i="158" s="1"/>
  <c r="AJ37" i="158" s="1"/>
  <c r="AM37" i="158" s="1"/>
  <c r="AP37" i="158" s="1"/>
  <c r="AS37" i="158" s="1"/>
  <c r="AV37" i="158" s="1"/>
  <c r="AY37" i="158" s="1"/>
  <c r="BB37" i="158" s="1"/>
  <c r="BE37" i="158" s="1"/>
  <c r="BH37" i="158" s="1"/>
  <c r="BK37" i="158" s="1"/>
  <c r="BN37" i="158" s="1"/>
  <c r="BQ37" i="158" s="1"/>
  <c r="BT37" i="158" s="1"/>
  <c r="BW37" i="158" s="1"/>
  <c r="BZ37" i="158" s="1"/>
  <c r="CC37" i="158" s="1"/>
  <c r="CF37" i="158" s="1"/>
  <c r="CI37" i="158" s="1"/>
  <c r="CL37" i="158" s="1"/>
  <c r="CO37" i="158" s="1"/>
  <c r="CR37" i="158" s="1"/>
  <c r="CU37" i="158" s="1"/>
  <c r="CV36" i="158"/>
  <c r="I36" i="158"/>
  <c r="CW35" i="158"/>
  <c r="CV35" i="158"/>
  <c r="I35" i="158"/>
  <c r="L35" i="158" s="1"/>
  <c r="O35" i="158" s="1"/>
  <c r="R35" i="158" s="1"/>
  <c r="U35" i="158" s="1"/>
  <c r="X35" i="158" s="1"/>
  <c r="AA35" i="158" s="1"/>
  <c r="AD35" i="158" s="1"/>
  <c r="AG35" i="158" s="1"/>
  <c r="AJ35" i="158" s="1"/>
  <c r="AM35" i="158" s="1"/>
  <c r="AP35" i="158" s="1"/>
  <c r="AS35" i="158" s="1"/>
  <c r="AV35" i="158" s="1"/>
  <c r="AY35" i="158" s="1"/>
  <c r="BB35" i="158" s="1"/>
  <c r="BE35" i="158" s="1"/>
  <c r="BH35" i="158" s="1"/>
  <c r="BK35" i="158" s="1"/>
  <c r="BN35" i="158" s="1"/>
  <c r="BQ35" i="158" s="1"/>
  <c r="BT35" i="158" s="1"/>
  <c r="BW35" i="158" s="1"/>
  <c r="BZ35" i="158" s="1"/>
  <c r="CC35" i="158" s="1"/>
  <c r="CF35" i="158" s="1"/>
  <c r="CI35" i="158" s="1"/>
  <c r="CL35" i="158" s="1"/>
  <c r="CO35" i="158" s="1"/>
  <c r="CR35" i="158" s="1"/>
  <c r="CU35" i="158" s="1"/>
  <c r="CW34" i="158"/>
  <c r="CV34" i="158"/>
  <c r="I34" i="158"/>
  <c r="L34" i="158" s="1"/>
  <c r="O34" i="158" s="1"/>
  <c r="R34" i="158" s="1"/>
  <c r="U34" i="158" s="1"/>
  <c r="X34" i="158" s="1"/>
  <c r="AA34" i="158" s="1"/>
  <c r="AD34" i="158" s="1"/>
  <c r="AG34" i="158" s="1"/>
  <c r="AJ34" i="158" s="1"/>
  <c r="AM34" i="158" s="1"/>
  <c r="AP34" i="158" s="1"/>
  <c r="AS34" i="158" s="1"/>
  <c r="AV34" i="158" s="1"/>
  <c r="AY34" i="158" s="1"/>
  <c r="BB34" i="158" s="1"/>
  <c r="BE34" i="158" s="1"/>
  <c r="BH34" i="158" s="1"/>
  <c r="BK34" i="158" s="1"/>
  <c r="BN34" i="158" s="1"/>
  <c r="BQ34" i="158" s="1"/>
  <c r="BT34" i="158" s="1"/>
  <c r="BW34" i="158" s="1"/>
  <c r="BZ34" i="158" s="1"/>
  <c r="CC34" i="158" s="1"/>
  <c r="CF34" i="158" s="1"/>
  <c r="CI34" i="158" s="1"/>
  <c r="CL34" i="158" s="1"/>
  <c r="CO34" i="158" s="1"/>
  <c r="CR34" i="158" s="1"/>
  <c r="CU34" i="158" s="1"/>
  <c r="CW33" i="158"/>
  <c r="CV33" i="158"/>
  <c r="I33" i="158"/>
  <c r="L33" i="158" s="1"/>
  <c r="O33" i="158" s="1"/>
  <c r="R33" i="158" s="1"/>
  <c r="U33" i="158" s="1"/>
  <c r="X33" i="158" s="1"/>
  <c r="AA33" i="158" s="1"/>
  <c r="AD33" i="158" s="1"/>
  <c r="AG33" i="158" s="1"/>
  <c r="AJ33" i="158" s="1"/>
  <c r="AM33" i="158" s="1"/>
  <c r="AP33" i="158" s="1"/>
  <c r="AS33" i="158" s="1"/>
  <c r="AV33" i="158" s="1"/>
  <c r="AY33" i="158" s="1"/>
  <c r="BB33" i="158" s="1"/>
  <c r="BE33" i="158" s="1"/>
  <c r="BH33" i="158" s="1"/>
  <c r="BK33" i="158" s="1"/>
  <c r="BN33" i="158" s="1"/>
  <c r="BQ33" i="158" s="1"/>
  <c r="BT33" i="158" s="1"/>
  <c r="BW33" i="158" s="1"/>
  <c r="BZ33" i="158" s="1"/>
  <c r="CC33" i="158" s="1"/>
  <c r="CF33" i="158" s="1"/>
  <c r="CI33" i="158" s="1"/>
  <c r="CL33" i="158" s="1"/>
  <c r="CO33" i="158" s="1"/>
  <c r="CR33" i="158" s="1"/>
  <c r="CU33" i="158" s="1"/>
  <c r="CV32" i="158"/>
  <c r="CW32" i="158"/>
  <c r="I32" i="158"/>
  <c r="L32" i="158" s="1"/>
  <c r="O32" i="158" s="1"/>
  <c r="R32" i="158" s="1"/>
  <c r="U32" i="158" s="1"/>
  <c r="X32" i="158" s="1"/>
  <c r="AA32" i="158" s="1"/>
  <c r="AD32" i="158" s="1"/>
  <c r="AG32" i="158" s="1"/>
  <c r="AJ32" i="158" s="1"/>
  <c r="AM32" i="158" s="1"/>
  <c r="AP32" i="158" s="1"/>
  <c r="AS32" i="158" s="1"/>
  <c r="AV32" i="158" s="1"/>
  <c r="AY32" i="158" s="1"/>
  <c r="BB32" i="158" s="1"/>
  <c r="BE32" i="158" s="1"/>
  <c r="BH32" i="158" s="1"/>
  <c r="BK32" i="158" s="1"/>
  <c r="BN32" i="158" s="1"/>
  <c r="BQ32" i="158" s="1"/>
  <c r="BT32" i="158" s="1"/>
  <c r="BW32" i="158" s="1"/>
  <c r="BZ32" i="158" s="1"/>
  <c r="CC32" i="158" s="1"/>
  <c r="CF32" i="158" s="1"/>
  <c r="CI32" i="158" s="1"/>
  <c r="CL32" i="158" s="1"/>
  <c r="CO32" i="158" s="1"/>
  <c r="CR32" i="158" s="1"/>
  <c r="CU32" i="158" s="1"/>
  <c r="CW31" i="158"/>
  <c r="CV31" i="158"/>
  <c r="I31" i="158"/>
  <c r="L31" i="158" s="1"/>
  <c r="O31" i="158" s="1"/>
  <c r="R31" i="158" s="1"/>
  <c r="U31" i="158" s="1"/>
  <c r="X31" i="158" s="1"/>
  <c r="AA31" i="158" s="1"/>
  <c r="AD31" i="158" s="1"/>
  <c r="AG31" i="158" s="1"/>
  <c r="AJ31" i="158" s="1"/>
  <c r="AM31" i="158" s="1"/>
  <c r="AP31" i="158" s="1"/>
  <c r="AS31" i="158" s="1"/>
  <c r="AV31" i="158" s="1"/>
  <c r="AY31" i="158" s="1"/>
  <c r="BB31" i="158" s="1"/>
  <c r="BE31" i="158" s="1"/>
  <c r="BH31" i="158" s="1"/>
  <c r="BK31" i="158" s="1"/>
  <c r="BN31" i="158" s="1"/>
  <c r="BQ31" i="158" s="1"/>
  <c r="BT31" i="158" s="1"/>
  <c r="BW31" i="158" s="1"/>
  <c r="BZ31" i="158" s="1"/>
  <c r="CC31" i="158" s="1"/>
  <c r="CF31" i="158" s="1"/>
  <c r="CI31" i="158" s="1"/>
  <c r="CL31" i="158" s="1"/>
  <c r="CO31" i="158" s="1"/>
  <c r="CR31" i="158" s="1"/>
  <c r="CU31" i="158" s="1"/>
  <c r="CW30" i="158"/>
  <c r="CV30" i="158"/>
  <c r="I30" i="158"/>
  <c r="L30" i="158" s="1"/>
  <c r="O30" i="158" s="1"/>
  <c r="R30" i="158" s="1"/>
  <c r="U30" i="158" s="1"/>
  <c r="X30" i="158" s="1"/>
  <c r="AA30" i="158" s="1"/>
  <c r="AD30" i="158" s="1"/>
  <c r="AG30" i="158" s="1"/>
  <c r="AJ30" i="158" s="1"/>
  <c r="AM30" i="158" s="1"/>
  <c r="AP30" i="158" s="1"/>
  <c r="AS30" i="158" s="1"/>
  <c r="AV30" i="158" s="1"/>
  <c r="AY30" i="158" s="1"/>
  <c r="BB30" i="158" s="1"/>
  <c r="BE30" i="158" s="1"/>
  <c r="BH30" i="158" s="1"/>
  <c r="BK30" i="158" s="1"/>
  <c r="BN30" i="158" s="1"/>
  <c r="BQ30" i="158" s="1"/>
  <c r="BT30" i="158" s="1"/>
  <c r="BW30" i="158" s="1"/>
  <c r="BZ30" i="158" s="1"/>
  <c r="CC30" i="158" s="1"/>
  <c r="CF30" i="158" s="1"/>
  <c r="CI30" i="158" s="1"/>
  <c r="CL30" i="158" s="1"/>
  <c r="CO30" i="158" s="1"/>
  <c r="CR30" i="158" s="1"/>
  <c r="CU30" i="158" s="1"/>
  <c r="CV29" i="158"/>
  <c r="I29" i="158"/>
  <c r="L29" i="158" s="1"/>
  <c r="O29" i="158" s="1"/>
  <c r="R29" i="158" s="1"/>
  <c r="U29" i="158" s="1"/>
  <c r="X29" i="158" s="1"/>
  <c r="AA29" i="158" s="1"/>
  <c r="AD29" i="158" s="1"/>
  <c r="AG29" i="158" s="1"/>
  <c r="AJ29" i="158" s="1"/>
  <c r="AM29" i="158" s="1"/>
  <c r="AP29" i="158" s="1"/>
  <c r="AS29" i="158" s="1"/>
  <c r="AV29" i="158" s="1"/>
  <c r="AY29" i="158" s="1"/>
  <c r="BB29" i="158" s="1"/>
  <c r="BE29" i="158" s="1"/>
  <c r="BH29" i="158" s="1"/>
  <c r="BK29" i="158" s="1"/>
  <c r="BN29" i="158" s="1"/>
  <c r="BQ29" i="158" s="1"/>
  <c r="BT29" i="158" s="1"/>
  <c r="BW29" i="158" s="1"/>
  <c r="BZ29" i="158" s="1"/>
  <c r="CC29" i="158" s="1"/>
  <c r="CF29" i="158" s="1"/>
  <c r="CI29" i="158" s="1"/>
  <c r="CL29" i="158" s="1"/>
  <c r="CO29" i="158" s="1"/>
  <c r="CR29" i="158" s="1"/>
  <c r="CU29" i="158" s="1"/>
  <c r="CW28" i="158"/>
  <c r="CV28" i="158"/>
  <c r="I28" i="158"/>
  <c r="L28" i="158" s="1"/>
  <c r="O28" i="158" s="1"/>
  <c r="R28" i="158" s="1"/>
  <c r="U28" i="158" s="1"/>
  <c r="X28" i="158" s="1"/>
  <c r="AA28" i="158" s="1"/>
  <c r="AD28" i="158" s="1"/>
  <c r="AG28" i="158" s="1"/>
  <c r="AJ28" i="158" s="1"/>
  <c r="AM28" i="158" s="1"/>
  <c r="AP28" i="158" s="1"/>
  <c r="AS28" i="158" s="1"/>
  <c r="AV28" i="158" s="1"/>
  <c r="AY28" i="158" s="1"/>
  <c r="BB28" i="158" s="1"/>
  <c r="BE28" i="158" s="1"/>
  <c r="BH28" i="158" s="1"/>
  <c r="BK28" i="158" s="1"/>
  <c r="BN28" i="158" s="1"/>
  <c r="BQ28" i="158" s="1"/>
  <c r="BT28" i="158" s="1"/>
  <c r="BW28" i="158" s="1"/>
  <c r="BZ28" i="158" s="1"/>
  <c r="CC28" i="158" s="1"/>
  <c r="CF28" i="158" s="1"/>
  <c r="CI28" i="158" s="1"/>
  <c r="CL28" i="158" s="1"/>
  <c r="CO28" i="158" s="1"/>
  <c r="CR28" i="158" s="1"/>
  <c r="CU28" i="158" s="1"/>
  <c r="CV27" i="158"/>
  <c r="I27" i="158"/>
  <c r="L27" i="158" s="1"/>
  <c r="O27" i="158" s="1"/>
  <c r="R27" i="158" s="1"/>
  <c r="U27" i="158" s="1"/>
  <c r="X27" i="158" s="1"/>
  <c r="AA27" i="158" s="1"/>
  <c r="AD27" i="158" s="1"/>
  <c r="AG27" i="158" s="1"/>
  <c r="AJ27" i="158" s="1"/>
  <c r="AM27" i="158" s="1"/>
  <c r="AP27" i="158" s="1"/>
  <c r="AS27" i="158" s="1"/>
  <c r="AV27" i="158" s="1"/>
  <c r="AY27" i="158" s="1"/>
  <c r="BB27" i="158" s="1"/>
  <c r="BE27" i="158" s="1"/>
  <c r="BH27" i="158" s="1"/>
  <c r="BK27" i="158" s="1"/>
  <c r="BN27" i="158" s="1"/>
  <c r="BQ27" i="158" s="1"/>
  <c r="BT27" i="158" s="1"/>
  <c r="BW27" i="158" s="1"/>
  <c r="BZ27" i="158" s="1"/>
  <c r="CC27" i="158" s="1"/>
  <c r="CF27" i="158" s="1"/>
  <c r="CI27" i="158" s="1"/>
  <c r="CL27" i="158" s="1"/>
  <c r="CO27" i="158" s="1"/>
  <c r="CR27" i="158" s="1"/>
  <c r="CU27" i="158" s="1"/>
  <c r="CW26" i="158"/>
  <c r="CV26" i="158"/>
  <c r="I26" i="158"/>
  <c r="L26" i="158" s="1"/>
  <c r="CV25" i="158"/>
  <c r="CV24" i="158"/>
  <c r="CW24" i="158"/>
  <c r="I24" i="158"/>
  <c r="L24" i="158" s="1"/>
  <c r="O24" i="158" s="1"/>
  <c r="R24" i="158" s="1"/>
  <c r="U24" i="158" s="1"/>
  <c r="X24" i="158" s="1"/>
  <c r="AA24" i="158" s="1"/>
  <c r="AD24" i="158" s="1"/>
  <c r="AG24" i="158" s="1"/>
  <c r="AJ24" i="158" s="1"/>
  <c r="AM24" i="158" s="1"/>
  <c r="AP24" i="158" s="1"/>
  <c r="AS24" i="158" s="1"/>
  <c r="AV24" i="158" s="1"/>
  <c r="AY24" i="158" s="1"/>
  <c r="BB24" i="158" s="1"/>
  <c r="BE24" i="158" s="1"/>
  <c r="BH24" i="158" s="1"/>
  <c r="BK24" i="158" s="1"/>
  <c r="BN24" i="158" s="1"/>
  <c r="BQ24" i="158" s="1"/>
  <c r="BT24" i="158" s="1"/>
  <c r="BW24" i="158" s="1"/>
  <c r="BZ24" i="158" s="1"/>
  <c r="CC24" i="158" s="1"/>
  <c r="CF24" i="158" s="1"/>
  <c r="CI24" i="158" s="1"/>
  <c r="CL24" i="158" s="1"/>
  <c r="CO24" i="158" s="1"/>
  <c r="CR24" i="158" s="1"/>
  <c r="CU24" i="158" s="1"/>
  <c r="CV23" i="158"/>
  <c r="CW23" i="158"/>
  <c r="I23" i="158"/>
  <c r="L23" i="158" s="1"/>
  <c r="O23" i="158" s="1"/>
  <c r="R23" i="158" s="1"/>
  <c r="U23" i="158" s="1"/>
  <c r="X23" i="158" s="1"/>
  <c r="AA23" i="158" s="1"/>
  <c r="AD23" i="158" s="1"/>
  <c r="AG23" i="158" s="1"/>
  <c r="AJ23" i="158" s="1"/>
  <c r="AM23" i="158" s="1"/>
  <c r="AP23" i="158" s="1"/>
  <c r="AS23" i="158" s="1"/>
  <c r="AV23" i="158" s="1"/>
  <c r="AY23" i="158" s="1"/>
  <c r="BB23" i="158" s="1"/>
  <c r="BE23" i="158" s="1"/>
  <c r="BH23" i="158" s="1"/>
  <c r="BK23" i="158" s="1"/>
  <c r="BN23" i="158" s="1"/>
  <c r="BQ23" i="158" s="1"/>
  <c r="BT23" i="158" s="1"/>
  <c r="BW23" i="158" s="1"/>
  <c r="BZ23" i="158" s="1"/>
  <c r="CC23" i="158" s="1"/>
  <c r="CF23" i="158" s="1"/>
  <c r="CI23" i="158" s="1"/>
  <c r="CL23" i="158" s="1"/>
  <c r="CO23" i="158" s="1"/>
  <c r="CR23" i="158" s="1"/>
  <c r="CU23" i="158" s="1"/>
  <c r="CV22" i="158"/>
  <c r="CW21" i="158"/>
  <c r="CV21" i="158"/>
  <c r="I21" i="158"/>
  <c r="L21" i="158" s="1"/>
  <c r="O21" i="158" s="1"/>
  <c r="R21" i="158" s="1"/>
  <c r="U21" i="158" s="1"/>
  <c r="X21" i="158" s="1"/>
  <c r="AA21" i="158" s="1"/>
  <c r="AD21" i="158" s="1"/>
  <c r="AG21" i="158" s="1"/>
  <c r="AJ21" i="158" s="1"/>
  <c r="AM21" i="158" s="1"/>
  <c r="AP21" i="158" s="1"/>
  <c r="AS21" i="158" s="1"/>
  <c r="AV21" i="158" s="1"/>
  <c r="AY21" i="158" s="1"/>
  <c r="BB21" i="158" s="1"/>
  <c r="BE21" i="158" s="1"/>
  <c r="BH21" i="158" s="1"/>
  <c r="BK21" i="158" s="1"/>
  <c r="BN21" i="158" s="1"/>
  <c r="BQ21" i="158" s="1"/>
  <c r="BT21" i="158" s="1"/>
  <c r="BW21" i="158" s="1"/>
  <c r="BZ21" i="158" s="1"/>
  <c r="CC21" i="158" s="1"/>
  <c r="CF21" i="158" s="1"/>
  <c r="CI21" i="158" s="1"/>
  <c r="CL21" i="158" s="1"/>
  <c r="CO21" i="158" s="1"/>
  <c r="CR21" i="158" s="1"/>
  <c r="CU21" i="158" s="1"/>
  <c r="CW20" i="158"/>
  <c r="CV20" i="158"/>
  <c r="I20" i="158"/>
  <c r="L20" i="158" s="1"/>
  <c r="O20" i="158" s="1"/>
  <c r="R20" i="158" s="1"/>
  <c r="U20" i="158" s="1"/>
  <c r="X20" i="158" s="1"/>
  <c r="AA20" i="158" s="1"/>
  <c r="AD20" i="158" s="1"/>
  <c r="AG20" i="158" s="1"/>
  <c r="AJ20" i="158" s="1"/>
  <c r="AM20" i="158" s="1"/>
  <c r="AP20" i="158" s="1"/>
  <c r="AS20" i="158" s="1"/>
  <c r="AV20" i="158" s="1"/>
  <c r="AY20" i="158" s="1"/>
  <c r="BB20" i="158" s="1"/>
  <c r="BE20" i="158" s="1"/>
  <c r="BH20" i="158" s="1"/>
  <c r="BK20" i="158" s="1"/>
  <c r="BN20" i="158" s="1"/>
  <c r="BQ20" i="158" s="1"/>
  <c r="BT20" i="158" s="1"/>
  <c r="BW20" i="158" s="1"/>
  <c r="BZ20" i="158" s="1"/>
  <c r="CC20" i="158" s="1"/>
  <c r="CF20" i="158" s="1"/>
  <c r="CI20" i="158" s="1"/>
  <c r="CL20" i="158" s="1"/>
  <c r="CO20" i="158" s="1"/>
  <c r="CR20" i="158" s="1"/>
  <c r="CU20" i="158" s="1"/>
  <c r="CV19" i="158"/>
  <c r="I19" i="158"/>
  <c r="L19" i="158" s="1"/>
  <c r="CV18" i="158"/>
  <c r="CW18" i="158"/>
  <c r="I18" i="158"/>
  <c r="L18" i="158" s="1"/>
  <c r="O18" i="158" s="1"/>
  <c r="R18" i="158" s="1"/>
  <c r="U18" i="158" s="1"/>
  <c r="X18" i="158" s="1"/>
  <c r="AA18" i="158" s="1"/>
  <c r="AD18" i="158" s="1"/>
  <c r="CW17" i="158"/>
  <c r="I17" i="158"/>
  <c r="L17" i="158" s="1"/>
  <c r="O17" i="158" s="1"/>
  <c r="R17" i="158" s="1"/>
  <c r="U17" i="158" s="1"/>
  <c r="X17" i="158" s="1"/>
  <c r="AA17" i="158" s="1"/>
  <c r="AD17" i="158" s="1"/>
  <c r="AG17" i="158" s="1"/>
  <c r="AJ17" i="158" s="1"/>
  <c r="AM17" i="158" s="1"/>
  <c r="AP17" i="158" s="1"/>
  <c r="AS17" i="158" s="1"/>
  <c r="AV17" i="158" s="1"/>
  <c r="AY17" i="158" s="1"/>
  <c r="BB17" i="158" s="1"/>
  <c r="BE17" i="158" s="1"/>
  <c r="BH17" i="158" s="1"/>
  <c r="BK17" i="158" s="1"/>
  <c r="BN17" i="158" s="1"/>
  <c r="BQ17" i="158" s="1"/>
  <c r="BT17" i="158" s="1"/>
  <c r="BW17" i="158" s="1"/>
  <c r="BZ17" i="158" s="1"/>
  <c r="CC17" i="158" s="1"/>
  <c r="CF17" i="158" s="1"/>
  <c r="CI17" i="158" s="1"/>
  <c r="CL17" i="158" s="1"/>
  <c r="CO17" i="158" s="1"/>
  <c r="CR17" i="158" s="1"/>
  <c r="CU17" i="158" s="1"/>
  <c r="CV16" i="158"/>
  <c r="I16" i="158"/>
  <c r="L16" i="158" s="1"/>
  <c r="O16" i="158" s="1"/>
  <c r="R16" i="158" s="1"/>
  <c r="U16" i="158" s="1"/>
  <c r="X16" i="158" s="1"/>
  <c r="AA16" i="158" s="1"/>
  <c r="AD16" i="158" s="1"/>
  <c r="AG16" i="158" s="1"/>
  <c r="AJ16" i="158" s="1"/>
  <c r="AM16" i="158" s="1"/>
  <c r="AP16" i="158" s="1"/>
  <c r="AS16" i="158" s="1"/>
  <c r="AV16" i="158" s="1"/>
  <c r="AY16" i="158" s="1"/>
  <c r="BB16" i="158" s="1"/>
  <c r="BE16" i="158" s="1"/>
  <c r="BH16" i="158" s="1"/>
  <c r="BK16" i="158" s="1"/>
  <c r="BN16" i="158" s="1"/>
  <c r="BQ16" i="158" s="1"/>
  <c r="BT16" i="158" s="1"/>
  <c r="BW16" i="158" s="1"/>
  <c r="BZ16" i="158" s="1"/>
  <c r="CC16" i="158" s="1"/>
  <c r="CF16" i="158" s="1"/>
  <c r="CI16" i="158" s="1"/>
  <c r="CL16" i="158" s="1"/>
  <c r="CO16" i="158" s="1"/>
  <c r="CR16" i="158" s="1"/>
  <c r="CU16" i="158" s="1"/>
  <c r="CV15" i="158"/>
  <c r="CW15" i="158"/>
  <c r="I15" i="158"/>
  <c r="CV14" i="158"/>
  <c r="CV13" i="158"/>
  <c r="I13" i="158"/>
  <c r="CV12" i="158"/>
  <c r="CW12" i="158"/>
  <c r="I12" i="158"/>
  <c r="L12" i="158" s="1"/>
  <c r="CW11" i="158"/>
  <c r="CV11" i="158"/>
  <c r="I11" i="158"/>
  <c r="L11" i="158" s="1"/>
  <c r="O11" i="158" s="1"/>
  <c r="R11" i="158" s="1"/>
  <c r="U11" i="158" s="1"/>
  <c r="X11" i="158" s="1"/>
  <c r="AA11" i="158" s="1"/>
  <c r="AD11" i="158" s="1"/>
  <c r="AG11" i="158" s="1"/>
  <c r="AJ11" i="158" s="1"/>
  <c r="AM11" i="158" s="1"/>
  <c r="AP11" i="158" s="1"/>
  <c r="AS11" i="158" s="1"/>
  <c r="AV11" i="158" s="1"/>
  <c r="AY11" i="158" s="1"/>
  <c r="BB11" i="158" s="1"/>
  <c r="BE11" i="158" s="1"/>
  <c r="BH11" i="158" s="1"/>
  <c r="BK11" i="158" s="1"/>
  <c r="BN11" i="158" s="1"/>
  <c r="BQ11" i="158" s="1"/>
  <c r="BT11" i="158" s="1"/>
  <c r="BW11" i="158" s="1"/>
  <c r="BZ11" i="158" s="1"/>
  <c r="CC11" i="158" s="1"/>
  <c r="CF11" i="158" s="1"/>
  <c r="CI11" i="158" s="1"/>
  <c r="CL11" i="158" s="1"/>
  <c r="CO11" i="158" s="1"/>
  <c r="CR11" i="158" s="1"/>
  <c r="CU11" i="158" s="1"/>
  <c r="CW10" i="158"/>
  <c r="CV10" i="158"/>
  <c r="I10" i="158"/>
  <c r="L10" i="158" s="1"/>
  <c r="O10" i="158" s="1"/>
  <c r="R10" i="158" s="1"/>
  <c r="U10" i="158" s="1"/>
  <c r="X10" i="158" s="1"/>
  <c r="AA10" i="158" s="1"/>
  <c r="AD10" i="158" s="1"/>
  <c r="AG10" i="158" s="1"/>
  <c r="AJ10" i="158" s="1"/>
  <c r="AM10" i="158" s="1"/>
  <c r="AP10" i="158" s="1"/>
  <c r="AS10" i="158" s="1"/>
  <c r="AV10" i="158" s="1"/>
  <c r="AY10" i="158" s="1"/>
  <c r="BB10" i="158" s="1"/>
  <c r="BE10" i="158" s="1"/>
  <c r="BH10" i="158" s="1"/>
  <c r="BK10" i="158" s="1"/>
  <c r="BN10" i="158" s="1"/>
  <c r="BQ10" i="158" s="1"/>
  <c r="BT10" i="158" s="1"/>
  <c r="BW10" i="158" s="1"/>
  <c r="BZ10" i="158" s="1"/>
  <c r="CC10" i="158" s="1"/>
  <c r="CF10" i="158" s="1"/>
  <c r="CI10" i="158" s="1"/>
  <c r="CL10" i="158" s="1"/>
  <c r="CO10" i="158" s="1"/>
  <c r="CR10" i="158" s="1"/>
  <c r="CU10" i="158" s="1"/>
  <c r="CW9" i="158"/>
  <c r="CV9" i="158"/>
  <c r="I9" i="158"/>
  <c r="L9" i="158" s="1"/>
  <c r="O9" i="158" s="1"/>
  <c r="R9" i="158" s="1"/>
  <c r="U9" i="158" s="1"/>
  <c r="X9" i="158" s="1"/>
  <c r="AA9" i="158" s="1"/>
  <c r="AD9" i="158" s="1"/>
  <c r="AG9" i="158" s="1"/>
  <c r="AJ9" i="158" s="1"/>
  <c r="AM9" i="158" s="1"/>
  <c r="AP9" i="158" s="1"/>
  <c r="AS9" i="158" s="1"/>
  <c r="AV9" i="158" s="1"/>
  <c r="AY9" i="158" s="1"/>
  <c r="BB9" i="158" s="1"/>
  <c r="BE9" i="158" s="1"/>
  <c r="BH9" i="158" s="1"/>
  <c r="BK9" i="158" s="1"/>
  <c r="BN9" i="158" s="1"/>
  <c r="BQ9" i="158" s="1"/>
  <c r="BT9" i="158" s="1"/>
  <c r="BW9" i="158" s="1"/>
  <c r="BZ9" i="158" s="1"/>
  <c r="CC9" i="158" s="1"/>
  <c r="CF9" i="158" s="1"/>
  <c r="CI9" i="158" s="1"/>
  <c r="CL9" i="158" s="1"/>
  <c r="CO9" i="158" s="1"/>
  <c r="CR9" i="158" s="1"/>
  <c r="CU9" i="158" s="1"/>
  <c r="CW8" i="158"/>
  <c r="CV8" i="158"/>
  <c r="I8" i="158"/>
  <c r="L8" i="158" s="1"/>
  <c r="O8" i="158" s="1"/>
  <c r="R8" i="158" s="1"/>
  <c r="U8" i="158" s="1"/>
  <c r="X8" i="158" s="1"/>
  <c r="AA8" i="158" s="1"/>
  <c r="AD8" i="158" s="1"/>
  <c r="AG8" i="158" s="1"/>
  <c r="AJ8" i="158" s="1"/>
  <c r="AM8" i="158" s="1"/>
  <c r="AP8" i="158" s="1"/>
  <c r="AS8" i="158" s="1"/>
  <c r="AV8" i="158" s="1"/>
  <c r="AY8" i="158" s="1"/>
  <c r="BB8" i="158" s="1"/>
  <c r="BE8" i="158" s="1"/>
  <c r="BH8" i="158" s="1"/>
  <c r="BK8" i="158" s="1"/>
  <c r="BN8" i="158" s="1"/>
  <c r="BQ8" i="158" s="1"/>
  <c r="BT8" i="158" s="1"/>
  <c r="BW8" i="158" s="1"/>
  <c r="BZ8" i="158" s="1"/>
  <c r="CC8" i="158" s="1"/>
  <c r="CF8" i="158" s="1"/>
  <c r="CI8" i="158" s="1"/>
  <c r="CL8" i="158" s="1"/>
  <c r="CO8" i="158" s="1"/>
  <c r="CR8" i="158" s="1"/>
  <c r="CU8" i="158" s="1"/>
  <c r="CW7" i="158"/>
  <c r="CV7" i="158"/>
  <c r="I7" i="158"/>
  <c r="L7" i="158" s="1"/>
  <c r="O7" i="158" s="1"/>
  <c r="R7" i="158" s="1"/>
  <c r="U7" i="158" s="1"/>
  <c r="X7" i="158" s="1"/>
  <c r="AA7" i="158" s="1"/>
  <c r="AD7" i="158" s="1"/>
  <c r="AG7" i="158" s="1"/>
  <c r="AJ7" i="158" s="1"/>
  <c r="AM7" i="158" s="1"/>
  <c r="AP7" i="158" s="1"/>
  <c r="AS7" i="158" s="1"/>
  <c r="AV7" i="158" s="1"/>
  <c r="AY7" i="158" s="1"/>
  <c r="BB7" i="158" s="1"/>
  <c r="BE7" i="158" s="1"/>
  <c r="BH7" i="158" s="1"/>
  <c r="BK7" i="158" s="1"/>
  <c r="BN7" i="158" s="1"/>
  <c r="BQ7" i="158" s="1"/>
  <c r="BT7" i="158" s="1"/>
  <c r="BW7" i="158" s="1"/>
  <c r="BZ7" i="158" s="1"/>
  <c r="CC7" i="158" s="1"/>
  <c r="CF7" i="158" s="1"/>
  <c r="CI7" i="158" s="1"/>
  <c r="CL7" i="158" s="1"/>
  <c r="CO7" i="158" s="1"/>
  <c r="CR7" i="158" s="1"/>
  <c r="CU7" i="158" s="1"/>
  <c r="CV6" i="158"/>
  <c r="CW6" i="158"/>
  <c r="I6" i="158"/>
  <c r="L6" i="158" s="1"/>
  <c r="O6" i="158" s="1"/>
  <c r="R6" i="158" s="1"/>
  <c r="U6" i="158" s="1"/>
  <c r="X6" i="158" s="1"/>
  <c r="AA6" i="158" s="1"/>
  <c r="AD6" i="158" s="1"/>
  <c r="AG6" i="158" s="1"/>
  <c r="AJ6" i="158" s="1"/>
  <c r="AM6" i="158" s="1"/>
  <c r="AP6" i="158" s="1"/>
  <c r="AS6" i="158" s="1"/>
  <c r="AV6" i="158" s="1"/>
  <c r="AY6" i="158" s="1"/>
  <c r="BB6" i="158" s="1"/>
  <c r="BE6" i="158" s="1"/>
  <c r="BH6" i="158" s="1"/>
  <c r="BK6" i="158" s="1"/>
  <c r="BN6" i="158" s="1"/>
  <c r="BQ6" i="158" s="1"/>
  <c r="BT6" i="158" s="1"/>
  <c r="BW6" i="158" s="1"/>
  <c r="BZ6" i="158" s="1"/>
  <c r="CC6" i="158" s="1"/>
  <c r="CF6" i="158" s="1"/>
  <c r="CI6" i="158" s="1"/>
  <c r="CL6" i="158" s="1"/>
  <c r="CO6" i="158" s="1"/>
  <c r="CR6" i="158" s="1"/>
  <c r="CU6" i="158" s="1"/>
  <c r="CW5" i="158"/>
  <c r="CV5" i="158"/>
  <c r="I5" i="158"/>
  <c r="L5" i="158" s="1"/>
  <c r="O5" i="158" s="1"/>
  <c r="R5" i="158" s="1"/>
  <c r="U5" i="158" s="1"/>
  <c r="X5" i="158" s="1"/>
  <c r="AA5" i="158" s="1"/>
  <c r="AD5" i="158" s="1"/>
  <c r="AG5" i="158" s="1"/>
  <c r="AJ5" i="158" s="1"/>
  <c r="AM5" i="158" s="1"/>
  <c r="AP5" i="158" s="1"/>
  <c r="AS5" i="158" s="1"/>
  <c r="AV5" i="158" s="1"/>
  <c r="AY5" i="158" s="1"/>
  <c r="BB5" i="158" s="1"/>
  <c r="BE5" i="158" s="1"/>
  <c r="BH5" i="158" s="1"/>
  <c r="BK5" i="158" s="1"/>
  <c r="BN5" i="158" s="1"/>
  <c r="BQ5" i="158" s="1"/>
  <c r="BT5" i="158" s="1"/>
  <c r="BW5" i="158" s="1"/>
  <c r="BZ5" i="158" s="1"/>
  <c r="CC5" i="158" s="1"/>
  <c r="CF5" i="158" s="1"/>
  <c r="CI5" i="158" s="1"/>
  <c r="CL5" i="158" s="1"/>
  <c r="CO5" i="158" s="1"/>
  <c r="CR5" i="158" s="1"/>
  <c r="CU5" i="158" s="1"/>
  <c r="CT43" i="157"/>
  <c r="CT77" i="157"/>
  <c r="CT40" i="157"/>
  <c r="CQ22" i="157"/>
  <c r="CT13" i="157"/>
  <c r="CJ29" i="157"/>
  <c r="CP75" i="157"/>
  <c r="CP60" i="157"/>
  <c r="CP50" i="157"/>
  <c r="CP39" i="157"/>
  <c r="CP36" i="157"/>
  <c r="CP29" i="157"/>
  <c r="AG18" i="158" l="1"/>
  <c r="AJ18" i="158" s="1"/>
  <c r="AM18" i="158" s="1"/>
  <c r="AP18" i="158" s="1"/>
  <c r="AS18" i="158" s="1"/>
  <c r="AV18" i="158" s="1"/>
  <c r="AY18" i="158" s="1"/>
  <c r="BB18" i="158" s="1"/>
  <c r="BE18" i="158" s="1"/>
  <c r="BH18" i="158" s="1"/>
  <c r="BK18" i="158" s="1"/>
  <c r="BN18" i="158" s="1"/>
  <c r="BQ18" i="158" s="1"/>
  <c r="BT18" i="158" s="1"/>
  <c r="BW18" i="158" s="1"/>
  <c r="BZ18" i="158" s="1"/>
  <c r="CC18" i="158" s="1"/>
  <c r="CF18" i="158" s="1"/>
  <c r="CI18" i="158" s="1"/>
  <c r="CL18" i="158" s="1"/>
  <c r="CO18" i="158" s="1"/>
  <c r="CR18" i="158" s="1"/>
  <c r="CU18" i="158" s="1"/>
  <c r="L83" i="158"/>
  <c r="O83" i="158" s="1"/>
  <c r="R83" i="158" s="1"/>
  <c r="U83" i="158" s="1"/>
  <c r="X83" i="158" s="1"/>
  <c r="AA83" i="158" s="1"/>
  <c r="AD83" i="158" s="1"/>
  <c r="AG83" i="158" s="1"/>
  <c r="AJ83" i="158" s="1"/>
  <c r="AM83" i="158" s="1"/>
  <c r="AP83" i="158" s="1"/>
  <c r="AS83" i="158" s="1"/>
  <c r="AV83" i="158" s="1"/>
  <c r="AY83" i="158" s="1"/>
  <c r="BB83" i="158" s="1"/>
  <c r="BE83" i="158" s="1"/>
  <c r="BH83" i="158" s="1"/>
  <c r="BK83" i="158" s="1"/>
  <c r="BN83" i="158" s="1"/>
  <c r="BQ83" i="158" s="1"/>
  <c r="BT83" i="158" s="1"/>
  <c r="BW83" i="158" s="1"/>
  <c r="BZ83" i="158" s="1"/>
  <c r="CC83" i="158" s="1"/>
  <c r="CF83" i="158" s="1"/>
  <c r="CI83" i="158" s="1"/>
  <c r="CL83" i="158" s="1"/>
  <c r="CO83" i="158" s="1"/>
  <c r="CR83" i="158" s="1"/>
  <c r="CU83" i="158" s="1"/>
  <c r="CX83" i="158" s="1"/>
  <c r="CZ83" i="158" s="1"/>
  <c r="L36" i="158"/>
  <c r="O36" i="158" s="1"/>
  <c r="R36" i="158" s="1"/>
  <c r="U36" i="158" s="1"/>
  <c r="X36" i="158" s="1"/>
  <c r="AA36" i="158" s="1"/>
  <c r="AD36" i="158" s="1"/>
  <c r="AG36" i="158" s="1"/>
  <c r="AJ36" i="158" s="1"/>
  <c r="AM36" i="158" s="1"/>
  <c r="AP36" i="158" s="1"/>
  <c r="AS36" i="158" s="1"/>
  <c r="AV36" i="158" s="1"/>
  <c r="AY36" i="158" s="1"/>
  <c r="BB36" i="158" s="1"/>
  <c r="BE36" i="158" s="1"/>
  <c r="BH36" i="158" s="1"/>
  <c r="BK36" i="158" s="1"/>
  <c r="BN36" i="158" s="1"/>
  <c r="BQ36" i="158" s="1"/>
  <c r="BT36" i="158" s="1"/>
  <c r="BW36" i="158" s="1"/>
  <c r="BZ36" i="158" s="1"/>
  <c r="CC36" i="158" s="1"/>
  <c r="CF36" i="158" s="1"/>
  <c r="CI36" i="158" s="1"/>
  <c r="CL36" i="158" s="1"/>
  <c r="CO36" i="158" s="1"/>
  <c r="CR36" i="158" s="1"/>
  <c r="CU36" i="158" s="1"/>
  <c r="DB20" i="158"/>
  <c r="DE20" i="158" s="1"/>
  <c r="CX20" i="158"/>
  <c r="CZ20" i="158" s="1"/>
  <c r="CX23" i="158"/>
  <c r="CZ23" i="158" s="1"/>
  <c r="DB23" i="158"/>
  <c r="DE23" i="158" s="1"/>
  <c r="DB24" i="158"/>
  <c r="DE24" i="158" s="1"/>
  <c r="CX24" i="158"/>
  <c r="CZ24" i="158" s="1"/>
  <c r="CX35" i="158"/>
  <c r="CZ35" i="158" s="1"/>
  <c r="DB35" i="158"/>
  <c r="DE35" i="158" s="1"/>
  <c r="DB48" i="158"/>
  <c r="DE48" i="158" s="1"/>
  <c r="CX48" i="158"/>
  <c r="CZ48" i="158" s="1"/>
  <c r="CX16" i="158"/>
  <c r="CZ16" i="158" s="1"/>
  <c r="DB16" i="158"/>
  <c r="DE16" i="158" s="1"/>
  <c r="DB64" i="158"/>
  <c r="DE64" i="158" s="1"/>
  <c r="CX64" i="158"/>
  <c r="CZ64" i="158" s="1"/>
  <c r="DB8" i="158"/>
  <c r="DE8" i="158" s="1"/>
  <c r="CX8" i="158"/>
  <c r="CZ8" i="158" s="1"/>
  <c r="DB29" i="158"/>
  <c r="DE29" i="158" s="1"/>
  <c r="CX29" i="158"/>
  <c r="CZ29" i="158" s="1"/>
  <c r="CX34" i="158"/>
  <c r="CZ34" i="158" s="1"/>
  <c r="DB34" i="158"/>
  <c r="DE34" i="158" s="1"/>
  <c r="DB69" i="158"/>
  <c r="DE69" i="158" s="1"/>
  <c r="CX69" i="158"/>
  <c r="CZ69" i="158" s="1"/>
  <c r="DB30" i="158"/>
  <c r="DE30" i="158" s="1"/>
  <c r="CX30" i="158"/>
  <c r="CZ30" i="158" s="1"/>
  <c r="DB17" i="158"/>
  <c r="DE17" i="158" s="1"/>
  <c r="CX17" i="158"/>
  <c r="CZ17" i="158" s="1"/>
  <c r="CX27" i="158"/>
  <c r="CZ27" i="158" s="1"/>
  <c r="DB27" i="158"/>
  <c r="DE27" i="158" s="1"/>
  <c r="CX31" i="158"/>
  <c r="CZ31" i="158" s="1"/>
  <c r="DB31" i="158"/>
  <c r="DE31" i="158" s="1"/>
  <c r="CX28" i="158"/>
  <c r="CZ28" i="158" s="1"/>
  <c r="DB28" i="158"/>
  <c r="DE28" i="158" s="1"/>
  <c r="DB33" i="158"/>
  <c r="DE33" i="158" s="1"/>
  <c r="CX33" i="158"/>
  <c r="CZ33" i="158" s="1"/>
  <c r="DB38" i="158"/>
  <c r="DE38" i="158" s="1"/>
  <c r="CX38" i="158"/>
  <c r="CZ38" i="158" s="1"/>
  <c r="CX43" i="158"/>
  <c r="CZ43" i="158" s="1"/>
  <c r="DB43" i="158"/>
  <c r="DE43" i="158" s="1"/>
  <c r="DB46" i="158"/>
  <c r="DE46" i="158" s="1"/>
  <c r="CX46" i="158"/>
  <c r="CZ46" i="158" s="1"/>
  <c r="DB55" i="158"/>
  <c r="DE55" i="158" s="1"/>
  <c r="CX55" i="158"/>
  <c r="CZ55" i="158" s="1"/>
  <c r="CX57" i="158"/>
  <c r="CZ57" i="158" s="1"/>
  <c r="DB57" i="158"/>
  <c r="DE57" i="158" s="1"/>
  <c r="DB6" i="158"/>
  <c r="DE6" i="158" s="1"/>
  <c r="CX6" i="158"/>
  <c r="CZ6" i="158" s="1"/>
  <c r="CX21" i="158"/>
  <c r="CZ21" i="158" s="1"/>
  <c r="DB21" i="158"/>
  <c r="DE21" i="158" s="1"/>
  <c r="CX45" i="158"/>
  <c r="CZ45" i="158" s="1"/>
  <c r="DB45" i="158"/>
  <c r="DE45" i="158" s="1"/>
  <c r="DB11" i="158"/>
  <c r="DE11" i="158" s="1"/>
  <c r="CX11" i="158"/>
  <c r="CZ11" i="158" s="1"/>
  <c r="CX61" i="158"/>
  <c r="CZ61" i="158" s="1"/>
  <c r="DB61" i="158"/>
  <c r="DE61" i="158" s="1"/>
  <c r="CX10" i="158"/>
  <c r="CZ10" i="158" s="1"/>
  <c r="DB10" i="158"/>
  <c r="DE10" i="158" s="1"/>
  <c r="DB5" i="158"/>
  <c r="DE5" i="158" s="1"/>
  <c r="CX5" i="158"/>
  <c r="CZ5" i="158" s="1"/>
  <c r="CX7" i="158"/>
  <c r="CZ7" i="158" s="1"/>
  <c r="DB7" i="158"/>
  <c r="DE7" i="158" s="1"/>
  <c r="DB9" i="158"/>
  <c r="DE9" i="158" s="1"/>
  <c r="CX9" i="158"/>
  <c r="CZ9" i="158" s="1"/>
  <c r="DB41" i="158"/>
  <c r="DE41" i="158" s="1"/>
  <c r="CX41" i="158"/>
  <c r="CZ41" i="158" s="1"/>
  <c r="DB32" i="158"/>
  <c r="DE32" i="158" s="1"/>
  <c r="CX32" i="158"/>
  <c r="CZ32" i="158" s="1"/>
  <c r="DB37" i="158"/>
  <c r="DE37" i="158" s="1"/>
  <c r="CX37" i="158"/>
  <c r="CZ37" i="158" s="1"/>
  <c r="DB42" i="158"/>
  <c r="DE42" i="158" s="1"/>
  <c r="CX42" i="158"/>
  <c r="CZ42" i="158" s="1"/>
  <c r="CX47" i="158"/>
  <c r="CZ47" i="158" s="1"/>
  <c r="DB47" i="158"/>
  <c r="DE47" i="158" s="1"/>
  <c r="DB67" i="158"/>
  <c r="DE67" i="158" s="1"/>
  <c r="CX67" i="158"/>
  <c r="CZ67" i="158" s="1"/>
  <c r="CW27" i="158"/>
  <c r="DB77" i="158"/>
  <c r="DE77" i="158" s="1"/>
  <c r="CX77" i="158"/>
  <c r="CZ77" i="158" s="1"/>
  <c r="L13" i="158"/>
  <c r="O13" i="158" s="1"/>
  <c r="R13" i="158" s="1"/>
  <c r="U13" i="158" s="1"/>
  <c r="X13" i="158" s="1"/>
  <c r="AA13" i="158" s="1"/>
  <c r="AD13" i="158" s="1"/>
  <c r="AG13" i="158" s="1"/>
  <c r="AJ13" i="158" s="1"/>
  <c r="AM13" i="158" s="1"/>
  <c r="AP13" i="158" s="1"/>
  <c r="AS13" i="158" s="1"/>
  <c r="AV13" i="158" s="1"/>
  <c r="AY13" i="158" s="1"/>
  <c r="BB13" i="158" s="1"/>
  <c r="BE13" i="158" s="1"/>
  <c r="BH13" i="158" s="1"/>
  <c r="BK13" i="158" s="1"/>
  <c r="BN13" i="158" s="1"/>
  <c r="BQ13" i="158" s="1"/>
  <c r="BT13" i="158" s="1"/>
  <c r="BW13" i="158" s="1"/>
  <c r="BZ13" i="158" s="1"/>
  <c r="CC13" i="158" s="1"/>
  <c r="CF13" i="158" s="1"/>
  <c r="CI13" i="158" s="1"/>
  <c r="CL13" i="158" s="1"/>
  <c r="CO13" i="158" s="1"/>
  <c r="CR13" i="158" s="1"/>
  <c r="CU13" i="158" s="1"/>
  <c r="L15" i="158"/>
  <c r="O15" i="158" s="1"/>
  <c r="R15" i="158" s="1"/>
  <c r="U15" i="158" s="1"/>
  <c r="X15" i="158" s="1"/>
  <c r="AA15" i="158" s="1"/>
  <c r="AD15" i="158" s="1"/>
  <c r="AG15" i="158" s="1"/>
  <c r="AJ15" i="158" s="1"/>
  <c r="AM15" i="158" s="1"/>
  <c r="AP15" i="158" s="1"/>
  <c r="AS15" i="158" s="1"/>
  <c r="AV15" i="158" s="1"/>
  <c r="AY15" i="158" s="1"/>
  <c r="BB15" i="158" s="1"/>
  <c r="BE15" i="158" s="1"/>
  <c r="BH15" i="158" s="1"/>
  <c r="BK15" i="158" s="1"/>
  <c r="BN15" i="158" s="1"/>
  <c r="BQ15" i="158" s="1"/>
  <c r="BT15" i="158" s="1"/>
  <c r="BW15" i="158" s="1"/>
  <c r="BZ15" i="158" s="1"/>
  <c r="CC15" i="158" s="1"/>
  <c r="CF15" i="158" s="1"/>
  <c r="CI15" i="158" s="1"/>
  <c r="CL15" i="158" s="1"/>
  <c r="CO15" i="158" s="1"/>
  <c r="CR15" i="158" s="1"/>
  <c r="CU15" i="158" s="1"/>
  <c r="O19" i="158"/>
  <c r="R19" i="158" s="1"/>
  <c r="U19" i="158" s="1"/>
  <c r="X19" i="158" s="1"/>
  <c r="AA19" i="158" s="1"/>
  <c r="AD19" i="158" s="1"/>
  <c r="AG19" i="158" s="1"/>
  <c r="AJ19" i="158" s="1"/>
  <c r="AM19" i="158" s="1"/>
  <c r="AP19" i="158" s="1"/>
  <c r="AS19" i="158" s="1"/>
  <c r="AV19" i="158" s="1"/>
  <c r="AY19" i="158" s="1"/>
  <c r="BB19" i="158" s="1"/>
  <c r="BE19" i="158" s="1"/>
  <c r="BH19" i="158" s="1"/>
  <c r="BK19" i="158" s="1"/>
  <c r="BN19" i="158" s="1"/>
  <c r="BQ19" i="158" s="1"/>
  <c r="BT19" i="158" s="1"/>
  <c r="BW19" i="158" s="1"/>
  <c r="BZ19" i="158" s="1"/>
  <c r="CC19" i="158" s="1"/>
  <c r="CF19" i="158" s="1"/>
  <c r="CI19" i="158" s="1"/>
  <c r="CL19" i="158" s="1"/>
  <c r="CO19" i="158" s="1"/>
  <c r="CR19" i="158" s="1"/>
  <c r="CU19" i="158" s="1"/>
  <c r="CW36" i="158"/>
  <c r="O39" i="158"/>
  <c r="R39" i="158" s="1"/>
  <c r="U39" i="158" s="1"/>
  <c r="X39" i="158" s="1"/>
  <c r="AA39" i="158" s="1"/>
  <c r="AD39" i="158" s="1"/>
  <c r="AG39" i="158" s="1"/>
  <c r="AJ39" i="158" s="1"/>
  <c r="AM39" i="158" s="1"/>
  <c r="AP39" i="158" s="1"/>
  <c r="AS39" i="158" s="1"/>
  <c r="AV39" i="158" s="1"/>
  <c r="AY39" i="158" s="1"/>
  <c r="BB39" i="158" s="1"/>
  <c r="BE39" i="158" s="1"/>
  <c r="BH39" i="158" s="1"/>
  <c r="BK39" i="158" s="1"/>
  <c r="BN39" i="158" s="1"/>
  <c r="BQ39" i="158" s="1"/>
  <c r="BT39" i="158" s="1"/>
  <c r="BW39" i="158" s="1"/>
  <c r="BZ39" i="158" s="1"/>
  <c r="CC39" i="158" s="1"/>
  <c r="CF39" i="158" s="1"/>
  <c r="CI39" i="158" s="1"/>
  <c r="CL39" i="158" s="1"/>
  <c r="CO39" i="158" s="1"/>
  <c r="CR39" i="158" s="1"/>
  <c r="CU39" i="158" s="1"/>
  <c r="DB49" i="158"/>
  <c r="DE49" i="158" s="1"/>
  <c r="CX49" i="158"/>
  <c r="CZ49" i="158" s="1"/>
  <c r="CX44" i="158"/>
  <c r="CZ44" i="158" s="1"/>
  <c r="DB44" i="158"/>
  <c r="DE44" i="158" s="1"/>
  <c r="CX82" i="158"/>
  <c r="CZ82" i="158" s="1"/>
  <c r="DB82" i="158"/>
  <c r="DE82" i="158" s="1"/>
  <c r="CX59" i="158"/>
  <c r="CZ59" i="158" s="1"/>
  <c r="DB59" i="158"/>
  <c r="DE59" i="158" s="1"/>
  <c r="CX70" i="158"/>
  <c r="CZ70" i="158" s="1"/>
  <c r="DB70" i="158"/>
  <c r="DE70" i="158" s="1"/>
  <c r="CV39" i="158"/>
  <c r="DB50" i="158"/>
  <c r="DE50" i="158" s="1"/>
  <c r="CX50" i="158"/>
  <c r="CZ50" i="158" s="1"/>
  <c r="I22" i="158"/>
  <c r="L22" i="158" s="1"/>
  <c r="O22" i="158" s="1"/>
  <c r="R22" i="158" s="1"/>
  <c r="U22" i="158" s="1"/>
  <c r="X22" i="158" s="1"/>
  <c r="AA22" i="158" s="1"/>
  <c r="AD22" i="158" s="1"/>
  <c r="AG22" i="158" s="1"/>
  <c r="AJ22" i="158" s="1"/>
  <c r="AM22" i="158" s="1"/>
  <c r="AP22" i="158" s="1"/>
  <c r="AS22" i="158" s="1"/>
  <c r="AV22" i="158" s="1"/>
  <c r="AY22" i="158" s="1"/>
  <c r="BB22" i="158" s="1"/>
  <c r="BE22" i="158" s="1"/>
  <c r="BH22" i="158" s="1"/>
  <c r="BK22" i="158" s="1"/>
  <c r="BN22" i="158" s="1"/>
  <c r="BQ22" i="158" s="1"/>
  <c r="BT22" i="158" s="1"/>
  <c r="BW22" i="158" s="1"/>
  <c r="BZ22" i="158" s="1"/>
  <c r="CC22" i="158" s="1"/>
  <c r="CF22" i="158" s="1"/>
  <c r="CI22" i="158" s="1"/>
  <c r="CL22" i="158" s="1"/>
  <c r="CO22" i="158" s="1"/>
  <c r="CR22" i="158" s="1"/>
  <c r="CU22" i="158" s="1"/>
  <c r="CW22" i="158"/>
  <c r="I25" i="158"/>
  <c r="L25" i="158" s="1"/>
  <c r="O25" i="158" s="1"/>
  <c r="R25" i="158" s="1"/>
  <c r="U25" i="158" s="1"/>
  <c r="X25" i="158" s="1"/>
  <c r="AA25" i="158" s="1"/>
  <c r="AD25" i="158" s="1"/>
  <c r="AG25" i="158" s="1"/>
  <c r="CW25" i="158"/>
  <c r="CX52" i="158"/>
  <c r="CZ52" i="158" s="1"/>
  <c r="DB52" i="158"/>
  <c r="DE52" i="158" s="1"/>
  <c r="CX54" i="158"/>
  <c r="CZ54" i="158" s="1"/>
  <c r="DB54" i="158"/>
  <c r="DE54" i="158" s="1"/>
  <c r="DB72" i="158"/>
  <c r="DE72" i="158" s="1"/>
  <c r="CX72" i="158"/>
  <c r="CZ72" i="158" s="1"/>
  <c r="DB51" i="158"/>
  <c r="DE51" i="158" s="1"/>
  <c r="CX51" i="158"/>
  <c r="CZ51" i="158" s="1"/>
  <c r="CX66" i="158"/>
  <c r="CZ66" i="158" s="1"/>
  <c r="DB66" i="158"/>
  <c r="DE66" i="158" s="1"/>
  <c r="CX74" i="158"/>
  <c r="CZ74" i="158" s="1"/>
  <c r="DB74" i="158"/>
  <c r="DE74" i="158" s="1"/>
  <c r="CW16" i="158"/>
  <c r="CV17" i="158"/>
  <c r="CW29" i="158"/>
  <c r="CX73" i="158"/>
  <c r="CZ73" i="158" s="1"/>
  <c r="DB73" i="158"/>
  <c r="DE73" i="158" s="1"/>
  <c r="CX90" i="158"/>
  <c r="CZ90" i="158" s="1"/>
  <c r="DB90" i="158"/>
  <c r="DE90" i="158" s="1"/>
  <c r="O12" i="158"/>
  <c r="R12" i="158" s="1"/>
  <c r="U12" i="158" s="1"/>
  <c r="X12" i="158" s="1"/>
  <c r="AA12" i="158" s="1"/>
  <c r="AD12" i="158" s="1"/>
  <c r="AG12" i="158" s="1"/>
  <c r="AJ12" i="158" s="1"/>
  <c r="AM12" i="158" s="1"/>
  <c r="AP12" i="158" s="1"/>
  <c r="AS12" i="158" s="1"/>
  <c r="AV12" i="158" s="1"/>
  <c r="AY12" i="158" s="1"/>
  <c r="BB12" i="158" s="1"/>
  <c r="BE12" i="158" s="1"/>
  <c r="BH12" i="158" s="1"/>
  <c r="BK12" i="158" s="1"/>
  <c r="BN12" i="158" s="1"/>
  <c r="BQ12" i="158" s="1"/>
  <c r="BT12" i="158" s="1"/>
  <c r="BW12" i="158" s="1"/>
  <c r="BZ12" i="158" s="1"/>
  <c r="CC12" i="158" s="1"/>
  <c r="CF12" i="158" s="1"/>
  <c r="CI12" i="158" s="1"/>
  <c r="CL12" i="158" s="1"/>
  <c r="CO12" i="158" s="1"/>
  <c r="CR12" i="158" s="1"/>
  <c r="CU12" i="158" s="1"/>
  <c r="DB65" i="158"/>
  <c r="DE65" i="158" s="1"/>
  <c r="CX65" i="158"/>
  <c r="CZ65" i="158" s="1"/>
  <c r="I40" i="158"/>
  <c r="L40" i="158" s="1"/>
  <c r="O40" i="158" s="1"/>
  <c r="R40" i="158" s="1"/>
  <c r="U40" i="158" s="1"/>
  <c r="X40" i="158" s="1"/>
  <c r="AA40" i="158" s="1"/>
  <c r="AD40" i="158" s="1"/>
  <c r="AG40" i="158" s="1"/>
  <c r="AJ40" i="158" s="1"/>
  <c r="AM40" i="158" s="1"/>
  <c r="AP40" i="158" s="1"/>
  <c r="AS40" i="158" s="1"/>
  <c r="AV40" i="158" s="1"/>
  <c r="AY40" i="158" s="1"/>
  <c r="BB40" i="158" s="1"/>
  <c r="BE40" i="158" s="1"/>
  <c r="BH40" i="158" s="1"/>
  <c r="BK40" i="158" s="1"/>
  <c r="BN40" i="158" s="1"/>
  <c r="BQ40" i="158" s="1"/>
  <c r="BT40" i="158" s="1"/>
  <c r="BW40" i="158" s="1"/>
  <c r="BZ40" i="158" s="1"/>
  <c r="CC40" i="158" s="1"/>
  <c r="CF40" i="158" s="1"/>
  <c r="CI40" i="158" s="1"/>
  <c r="CL40" i="158" s="1"/>
  <c r="CO40" i="158" s="1"/>
  <c r="CR40" i="158" s="1"/>
  <c r="CU40" i="158" s="1"/>
  <c r="CW40" i="158"/>
  <c r="CX56" i="158"/>
  <c r="CZ56" i="158" s="1"/>
  <c r="DB56" i="158"/>
  <c r="DE56" i="158" s="1"/>
  <c r="DB68" i="158"/>
  <c r="DE68" i="158" s="1"/>
  <c r="CX68" i="158"/>
  <c r="CZ68" i="158" s="1"/>
  <c r="I14" i="158"/>
  <c r="L14" i="158" s="1"/>
  <c r="O14" i="158" s="1"/>
  <c r="R14" i="158" s="1"/>
  <c r="U14" i="158" s="1"/>
  <c r="X14" i="158" s="1"/>
  <c r="AA14" i="158" s="1"/>
  <c r="AD14" i="158" s="1"/>
  <c r="AG14" i="158" s="1"/>
  <c r="AJ14" i="158" s="1"/>
  <c r="AM14" i="158" s="1"/>
  <c r="AP14" i="158" s="1"/>
  <c r="AS14" i="158" s="1"/>
  <c r="AV14" i="158" s="1"/>
  <c r="AY14" i="158" s="1"/>
  <c r="BB14" i="158" s="1"/>
  <c r="BE14" i="158" s="1"/>
  <c r="BH14" i="158" s="1"/>
  <c r="BK14" i="158" s="1"/>
  <c r="BN14" i="158" s="1"/>
  <c r="BQ14" i="158" s="1"/>
  <c r="BT14" i="158" s="1"/>
  <c r="BW14" i="158" s="1"/>
  <c r="BZ14" i="158" s="1"/>
  <c r="CC14" i="158" s="1"/>
  <c r="CF14" i="158" s="1"/>
  <c r="CI14" i="158" s="1"/>
  <c r="CL14" i="158" s="1"/>
  <c r="CO14" i="158" s="1"/>
  <c r="CR14" i="158" s="1"/>
  <c r="CU14" i="158" s="1"/>
  <c r="CW14" i="158"/>
  <c r="DB88" i="158"/>
  <c r="DE88" i="158" s="1"/>
  <c r="CX88" i="158"/>
  <c r="CZ88" i="158" s="1"/>
  <c r="CX53" i="158"/>
  <c r="CZ53" i="158" s="1"/>
  <c r="DB53" i="158"/>
  <c r="DE53" i="158" s="1"/>
  <c r="CW13" i="158"/>
  <c r="CW19" i="158"/>
  <c r="O26" i="158"/>
  <c r="R26" i="158" s="1"/>
  <c r="U26" i="158" s="1"/>
  <c r="X26" i="158" s="1"/>
  <c r="AA26" i="158" s="1"/>
  <c r="AD26" i="158" s="1"/>
  <c r="AG26" i="158" s="1"/>
  <c r="AJ26" i="158" s="1"/>
  <c r="AM26" i="158" s="1"/>
  <c r="AP26" i="158" s="1"/>
  <c r="AS26" i="158" s="1"/>
  <c r="AV26" i="158" s="1"/>
  <c r="AY26" i="158" s="1"/>
  <c r="BB26" i="158" s="1"/>
  <c r="BE26" i="158" s="1"/>
  <c r="BH26" i="158" s="1"/>
  <c r="BK26" i="158" s="1"/>
  <c r="BN26" i="158" s="1"/>
  <c r="BQ26" i="158" s="1"/>
  <c r="BT26" i="158" s="1"/>
  <c r="BW26" i="158" s="1"/>
  <c r="BZ26" i="158" s="1"/>
  <c r="CC26" i="158" s="1"/>
  <c r="CF26" i="158" s="1"/>
  <c r="CI26" i="158" s="1"/>
  <c r="CL26" i="158" s="1"/>
  <c r="CO26" i="158" s="1"/>
  <c r="CR26" i="158" s="1"/>
  <c r="CU26" i="158" s="1"/>
  <c r="DB62" i="158"/>
  <c r="DE62" i="158" s="1"/>
  <c r="CX62" i="158"/>
  <c r="CZ62" i="158" s="1"/>
  <c r="CW63" i="158"/>
  <c r="X71" i="158"/>
  <c r="AA71" i="158" s="1"/>
  <c r="AD71" i="158" s="1"/>
  <c r="AG71" i="158" s="1"/>
  <c r="AJ71" i="158" s="1"/>
  <c r="AM71" i="158" s="1"/>
  <c r="AP71" i="158" s="1"/>
  <c r="AS71" i="158" s="1"/>
  <c r="AV71" i="158" s="1"/>
  <c r="AY71" i="158" s="1"/>
  <c r="BB71" i="158" s="1"/>
  <c r="BE71" i="158" s="1"/>
  <c r="BH71" i="158" s="1"/>
  <c r="BK71" i="158" s="1"/>
  <c r="BN71" i="158" s="1"/>
  <c r="BQ71" i="158" s="1"/>
  <c r="BT71" i="158" s="1"/>
  <c r="BW71" i="158" s="1"/>
  <c r="BZ71" i="158" s="1"/>
  <c r="CC71" i="158" s="1"/>
  <c r="CF71" i="158" s="1"/>
  <c r="CI71" i="158" s="1"/>
  <c r="CL71" i="158" s="1"/>
  <c r="CO71" i="158" s="1"/>
  <c r="CR71" i="158" s="1"/>
  <c r="CU71" i="158" s="1"/>
  <c r="CW43" i="158"/>
  <c r="CW59" i="158"/>
  <c r="CW48" i="158"/>
  <c r="CW75" i="158"/>
  <c r="L58" i="158"/>
  <c r="O58" i="158" s="1"/>
  <c r="R58" i="158" s="1"/>
  <c r="U58" i="158" s="1"/>
  <c r="X58" i="158" s="1"/>
  <c r="AA58" i="158" s="1"/>
  <c r="AD58" i="158" s="1"/>
  <c r="AG58" i="158" s="1"/>
  <c r="AJ58" i="158" s="1"/>
  <c r="AM58" i="158" s="1"/>
  <c r="AP58" i="158" s="1"/>
  <c r="AS58" i="158" s="1"/>
  <c r="AV58" i="158" s="1"/>
  <c r="AY58" i="158" s="1"/>
  <c r="BB58" i="158" s="1"/>
  <c r="BE58" i="158" s="1"/>
  <c r="BH58" i="158" s="1"/>
  <c r="BK58" i="158" s="1"/>
  <c r="BN58" i="158" s="1"/>
  <c r="BQ58" i="158" s="1"/>
  <c r="BT58" i="158" s="1"/>
  <c r="BW58" i="158" s="1"/>
  <c r="BZ58" i="158" s="1"/>
  <c r="CC58" i="158" s="1"/>
  <c r="CF58" i="158" s="1"/>
  <c r="CI58" i="158" s="1"/>
  <c r="CL58" i="158" s="1"/>
  <c r="CO58" i="158" s="1"/>
  <c r="CR58" i="158" s="1"/>
  <c r="CU58" i="158" s="1"/>
  <c r="L60" i="158"/>
  <c r="O60" i="158" s="1"/>
  <c r="R60" i="158" s="1"/>
  <c r="U60" i="158" s="1"/>
  <c r="X60" i="158" s="1"/>
  <c r="AA60" i="158" s="1"/>
  <c r="AD60" i="158" s="1"/>
  <c r="AG60" i="158" s="1"/>
  <c r="AJ60" i="158" s="1"/>
  <c r="AM60" i="158" s="1"/>
  <c r="AP60" i="158" s="1"/>
  <c r="AS60" i="158" s="1"/>
  <c r="AV60" i="158" s="1"/>
  <c r="AY60" i="158" s="1"/>
  <c r="BB60" i="158" s="1"/>
  <c r="BE60" i="158" s="1"/>
  <c r="BH60" i="158" s="1"/>
  <c r="BK60" i="158" s="1"/>
  <c r="BN60" i="158" s="1"/>
  <c r="BQ60" i="158" s="1"/>
  <c r="BT60" i="158" s="1"/>
  <c r="BW60" i="158" s="1"/>
  <c r="BZ60" i="158" s="1"/>
  <c r="CC60" i="158" s="1"/>
  <c r="CF60" i="158" s="1"/>
  <c r="CI60" i="158" s="1"/>
  <c r="CL60" i="158" s="1"/>
  <c r="CO60" i="158" s="1"/>
  <c r="CR60" i="158" s="1"/>
  <c r="CU60" i="158" s="1"/>
  <c r="L63" i="158"/>
  <c r="O63" i="158" s="1"/>
  <c r="R63" i="158" s="1"/>
  <c r="U63" i="158" s="1"/>
  <c r="X63" i="158" s="1"/>
  <c r="AA63" i="158" s="1"/>
  <c r="AD63" i="158" s="1"/>
  <c r="AG63" i="158" s="1"/>
  <c r="AJ63" i="158" s="1"/>
  <c r="AM63" i="158" s="1"/>
  <c r="AP63" i="158" s="1"/>
  <c r="AS63" i="158" s="1"/>
  <c r="AV63" i="158" s="1"/>
  <c r="AY63" i="158" s="1"/>
  <c r="BB63" i="158" s="1"/>
  <c r="BE63" i="158" s="1"/>
  <c r="BH63" i="158" s="1"/>
  <c r="BK63" i="158" s="1"/>
  <c r="BN63" i="158" s="1"/>
  <c r="BQ63" i="158" s="1"/>
  <c r="BT63" i="158" s="1"/>
  <c r="BW63" i="158" s="1"/>
  <c r="BZ63" i="158" s="1"/>
  <c r="CC63" i="158" s="1"/>
  <c r="CF63" i="158" s="1"/>
  <c r="CI63" i="158" s="1"/>
  <c r="CL63" i="158" s="1"/>
  <c r="CO63" i="158" s="1"/>
  <c r="CR63" i="158" s="1"/>
  <c r="CU63" i="158" s="1"/>
  <c r="DB86" i="158"/>
  <c r="DE86" i="158" s="1"/>
  <c r="CX86" i="158"/>
  <c r="CZ86" i="158" s="1"/>
  <c r="DB93" i="158"/>
  <c r="DE93" i="158" s="1"/>
  <c r="CX93" i="158"/>
  <c r="CZ93" i="158" s="1"/>
  <c r="DB84" i="158"/>
  <c r="DE84" i="158" s="1"/>
  <c r="CX84" i="158"/>
  <c r="CZ84" i="158" s="1"/>
  <c r="DB79" i="158"/>
  <c r="DE79" i="158" s="1"/>
  <c r="CX79" i="158"/>
  <c r="CZ79" i="158" s="1"/>
  <c r="DB91" i="158"/>
  <c r="DE91" i="158" s="1"/>
  <c r="CX91" i="158"/>
  <c r="CZ91" i="158" s="1"/>
  <c r="DB76" i="158"/>
  <c r="DE76" i="158" s="1"/>
  <c r="CX76" i="158"/>
  <c r="CZ76" i="158" s="1"/>
  <c r="CX81" i="158"/>
  <c r="CZ81" i="158" s="1"/>
  <c r="DB81" i="158"/>
  <c r="DE81" i="158" s="1"/>
  <c r="CX87" i="158"/>
  <c r="CZ87" i="158" s="1"/>
  <c r="DB87" i="158"/>
  <c r="DE87" i="158" s="1"/>
  <c r="DB89" i="158"/>
  <c r="DE89" i="158" s="1"/>
  <c r="CX89" i="158"/>
  <c r="CZ89" i="158" s="1"/>
  <c r="DB94" i="158"/>
  <c r="DE94" i="158" s="1"/>
  <c r="CX94" i="158"/>
  <c r="CZ94" i="158" s="1"/>
  <c r="R75" i="158"/>
  <c r="U75" i="158" s="1"/>
  <c r="X75" i="158" s="1"/>
  <c r="AA75" i="158" s="1"/>
  <c r="AD75" i="158" s="1"/>
  <c r="AG75" i="158" s="1"/>
  <c r="AJ75" i="158" s="1"/>
  <c r="AM75" i="158" s="1"/>
  <c r="AP75" i="158" s="1"/>
  <c r="AS75" i="158" s="1"/>
  <c r="AV75" i="158" s="1"/>
  <c r="AY75" i="158" s="1"/>
  <c r="BB75" i="158" s="1"/>
  <c r="BE75" i="158" s="1"/>
  <c r="BH75" i="158" s="1"/>
  <c r="BK75" i="158" s="1"/>
  <c r="BN75" i="158" s="1"/>
  <c r="BQ75" i="158" s="1"/>
  <c r="BT75" i="158" s="1"/>
  <c r="BW75" i="158" s="1"/>
  <c r="BZ75" i="158" s="1"/>
  <c r="CC75" i="158" s="1"/>
  <c r="CF75" i="158" s="1"/>
  <c r="CI75" i="158" s="1"/>
  <c r="CL75" i="158" s="1"/>
  <c r="CO75" i="158" s="1"/>
  <c r="CR75" i="158" s="1"/>
  <c r="CU75" i="158" s="1"/>
  <c r="DB80" i="158"/>
  <c r="DE80" i="158" s="1"/>
  <c r="CX80" i="158"/>
  <c r="CZ80" i="158" s="1"/>
  <c r="DB85" i="158"/>
  <c r="DE85" i="158" s="1"/>
  <c r="CX85" i="158"/>
  <c r="CZ85" i="158" s="1"/>
  <c r="DB92" i="158"/>
  <c r="DE92" i="158" s="1"/>
  <c r="CX92" i="158"/>
  <c r="CZ92" i="158" s="1"/>
  <c r="CW77" i="158"/>
  <c r="CW83" i="158"/>
  <c r="CQ84" i="157"/>
  <c r="CQ75" i="157"/>
  <c r="CQ63" i="157"/>
  <c r="CQ59" i="157"/>
  <c r="CQ17" i="157"/>
  <c r="CQ29" i="157"/>
  <c r="CQ12" i="157"/>
  <c r="AJ25" i="158" l="1"/>
  <c r="AM25" i="158" s="1"/>
  <c r="AP25" i="158" s="1"/>
  <c r="AS25" i="158" s="1"/>
  <c r="AV25" i="158" s="1"/>
  <c r="AY25" i="158" s="1"/>
  <c r="BB25" i="158" s="1"/>
  <c r="BE25" i="158" s="1"/>
  <c r="BH25" i="158" s="1"/>
  <c r="BK25" i="158" s="1"/>
  <c r="BN25" i="158" s="1"/>
  <c r="BQ25" i="158" s="1"/>
  <c r="BT25" i="158" s="1"/>
  <c r="BW25" i="158" s="1"/>
  <c r="BZ25" i="158" s="1"/>
  <c r="CC25" i="158" s="1"/>
  <c r="CF25" i="158" s="1"/>
  <c r="CI25" i="158" s="1"/>
  <c r="CL25" i="158" s="1"/>
  <c r="CO25" i="158" s="1"/>
  <c r="CR25" i="158" s="1"/>
  <c r="CU25" i="158" s="1"/>
  <c r="DB18" i="158"/>
  <c r="DE18" i="158" s="1"/>
  <c r="CX18" i="158"/>
  <c r="CZ18" i="158" s="1"/>
  <c r="DB83" i="158"/>
  <c r="DE83" i="158" s="1"/>
  <c r="CX13" i="158"/>
  <c r="CZ13" i="158" s="1"/>
  <c r="DB13" i="158"/>
  <c r="DE13" i="158" s="1"/>
  <c r="CX71" i="158"/>
  <c r="CZ71" i="158" s="1"/>
  <c r="DB71" i="158"/>
  <c r="DE71" i="158" s="1"/>
  <c r="DB63" i="158"/>
  <c r="DE63" i="158" s="1"/>
  <c r="CX63" i="158"/>
  <c r="CZ63" i="158" s="1"/>
  <c r="DB60" i="158"/>
  <c r="DE60" i="158" s="1"/>
  <c r="CX60" i="158"/>
  <c r="CZ60" i="158" s="1"/>
  <c r="DB40" i="158"/>
  <c r="DE40" i="158" s="1"/>
  <c r="CX40" i="158"/>
  <c r="CZ40" i="158" s="1"/>
  <c r="DB36" i="158"/>
  <c r="DE36" i="158" s="1"/>
  <c r="CX36" i="158"/>
  <c r="CZ36" i="158" s="1"/>
  <c r="CX58" i="158"/>
  <c r="CZ58" i="158" s="1"/>
  <c r="DB58" i="158"/>
  <c r="DE58" i="158" s="1"/>
  <c r="DB39" i="158"/>
  <c r="DE39" i="158" s="1"/>
  <c r="CX39" i="158"/>
  <c r="CZ39" i="158" s="1"/>
  <c r="DB75" i="158"/>
  <c r="DE75" i="158" s="1"/>
  <c r="CX75" i="158"/>
  <c r="CZ75" i="158" s="1"/>
  <c r="CX26" i="158"/>
  <c r="CZ26" i="158" s="1"/>
  <c r="DB26" i="158"/>
  <c r="DE26" i="158" s="1"/>
  <c r="DB14" i="158"/>
  <c r="DE14" i="158" s="1"/>
  <c r="CX14" i="158"/>
  <c r="CZ14" i="158" s="1"/>
  <c r="CX22" i="158"/>
  <c r="CZ22" i="158" s="1"/>
  <c r="DB22" i="158"/>
  <c r="DE22" i="158" s="1"/>
  <c r="DB19" i="158"/>
  <c r="DE19" i="158" s="1"/>
  <c r="CX19" i="158"/>
  <c r="CZ19" i="158" s="1"/>
  <c r="CX12" i="158"/>
  <c r="CZ12" i="158" s="1"/>
  <c r="DB12" i="158"/>
  <c r="DE12" i="158" s="1"/>
  <c r="CX15" i="158"/>
  <c r="CZ15" i="158" s="1"/>
  <c r="DB15" i="158"/>
  <c r="DE15" i="158" s="1"/>
  <c r="CN40" i="157"/>
  <c r="CQ48" i="157"/>
  <c r="CQ40" i="157"/>
  <c r="CQ13" i="157"/>
  <c r="CQ60" i="157"/>
  <c r="CQ23" i="157"/>
  <c r="CQ16" i="157"/>
  <c r="CQ14" i="157"/>
  <c r="CQ27" i="157"/>
  <c r="CQ77" i="157"/>
  <c r="CQ25" i="157"/>
  <c r="CQ15" i="157"/>
  <c r="CQ71" i="157"/>
  <c r="CQ18" i="157"/>
  <c r="CQ58" i="157"/>
  <c r="CQ43" i="157"/>
  <c r="CN14" i="157"/>
  <c r="CN16" i="157"/>
  <c r="CN77" i="157"/>
  <c r="CN13" i="157"/>
  <c r="CN27" i="157"/>
  <c r="CN19" i="157"/>
  <c r="CN58" i="157"/>
  <c r="CN48" i="157"/>
  <c r="CN15" i="157"/>
  <c r="CN60" i="157"/>
  <c r="CN25" i="157"/>
  <c r="CN22" i="157"/>
  <c r="CJ60" i="157"/>
  <c r="DB25" i="158" l="1"/>
  <c r="DE25" i="158" s="1"/>
  <c r="CX25" i="158"/>
  <c r="CZ25" i="158" s="1"/>
  <c r="CZ95" i="158" s="1"/>
  <c r="CZ96" i="158" s="1"/>
  <c r="CJ75" i="157"/>
  <c r="CJ36" i="157"/>
  <c r="CK84" i="157"/>
  <c r="CK83" i="157"/>
  <c r="CK75" i="157"/>
  <c r="CK63" i="157"/>
  <c r="CK59" i="157"/>
  <c r="CK17" i="157"/>
  <c r="CK29" i="157"/>
  <c r="CK39" i="157"/>
  <c r="CK12" i="157"/>
  <c r="CK60" i="157"/>
  <c r="CK16" i="157"/>
  <c r="CK14" i="157"/>
  <c r="CH36" i="157"/>
  <c r="CG19" i="157"/>
  <c r="CG17" i="157"/>
  <c r="CK40" i="157"/>
  <c r="CK27" i="157"/>
  <c r="CK25" i="157"/>
  <c r="CK22" i="157"/>
  <c r="CK15" i="157"/>
  <c r="CK18" i="157"/>
  <c r="CK43" i="157"/>
  <c r="CK71" i="157"/>
  <c r="CK48" i="157"/>
  <c r="CK6" i="157"/>
  <c r="CK77" i="157"/>
  <c r="CG75" i="157"/>
  <c r="CG60" i="157"/>
  <c r="CG29" i="157"/>
  <c r="CH84" i="157"/>
  <c r="CH75" i="157"/>
  <c r="CH63" i="157"/>
  <c r="CH59" i="157"/>
  <c r="CH17" i="157"/>
  <c r="CH29" i="157"/>
  <c r="CH39" i="157"/>
  <c r="CH12" i="157"/>
  <c r="CH15" i="157" l="1"/>
  <c r="CH60" i="157"/>
  <c r="CH23" i="157"/>
  <c r="CH14" i="157"/>
  <c r="CH16" i="157"/>
  <c r="CH77" i="157"/>
  <c r="CH40" i="157"/>
  <c r="CH27" i="157"/>
  <c r="CH13" i="157"/>
  <c r="CH22" i="157"/>
  <c r="CH45" i="157"/>
  <c r="CH58" i="157"/>
  <c r="CH25" i="157"/>
  <c r="CA39" i="157"/>
  <c r="CA75" i="157"/>
  <c r="CA36" i="157"/>
  <c r="CA29" i="157"/>
  <c r="CA17" i="157"/>
  <c r="CA12" i="157"/>
  <c r="CB84" i="157"/>
  <c r="CB83" i="157"/>
  <c r="CB75" i="157"/>
  <c r="CB63" i="157"/>
  <c r="CB59" i="157"/>
  <c r="CB39" i="157"/>
  <c r="CB29" i="157"/>
  <c r="CB17" i="157"/>
  <c r="CB15" i="157"/>
  <c r="CB12" i="157"/>
  <c r="BX60" i="157"/>
  <c r="CB60" i="157"/>
  <c r="CB16" i="157"/>
  <c r="CB14" i="157"/>
  <c r="CB48" i="157"/>
  <c r="CB77" i="157"/>
  <c r="CB58" i="157"/>
  <c r="CB40" i="157"/>
  <c r="CB27" i="157"/>
  <c r="CB25" i="157"/>
  <c r="CB22" i="157"/>
  <c r="BX75" i="157"/>
  <c r="BX29" i="157"/>
  <c r="BX17" i="157"/>
  <c r="BY84" i="157"/>
  <c r="BY83" i="157"/>
  <c r="BY75" i="157"/>
  <c r="BY63" i="157"/>
  <c r="BY59" i="157"/>
  <c r="BY29" i="157"/>
  <c r="BY39" i="157"/>
  <c r="BY12" i="157"/>
  <c r="BY60" i="157"/>
  <c r="BY25" i="157"/>
  <c r="BY23" i="157"/>
  <c r="BY16" i="157"/>
  <c r="BY14" i="157"/>
  <c r="H13" i="157"/>
  <c r="BU75" i="157"/>
  <c r="BU39" i="157"/>
  <c r="BU29" i="157"/>
  <c r="BY40" i="157"/>
  <c r="BY22" i="157"/>
  <c r="BY77" i="157"/>
  <c r="BY27" i="157"/>
  <c r="BY13" i="157"/>
  <c r="BY18" i="157"/>
  <c r="BY15" i="157"/>
  <c r="BY48" i="157"/>
  <c r="BY6" i="157"/>
  <c r="BO16" i="157"/>
  <c r="BV60" i="157"/>
  <c r="BU60" i="157"/>
  <c r="BU17" i="157"/>
  <c r="BV29" i="157"/>
  <c r="BV84" i="157"/>
  <c r="BV63" i="157"/>
  <c r="BV59" i="157"/>
  <c r="BV17" i="157"/>
  <c r="BV39" i="157"/>
  <c r="BV12" i="157"/>
  <c r="BP29" i="157" l="1"/>
  <c r="BP39" i="157"/>
  <c r="BS39" i="157"/>
  <c r="BS68" i="157"/>
  <c r="BV75" i="157"/>
  <c r="BV13" i="157"/>
  <c r="BV40" i="157"/>
  <c r="BV14" i="157"/>
  <c r="BV15" i="157"/>
  <c r="BV48" i="157"/>
  <c r="BV27" i="157"/>
  <c r="BV19" i="157"/>
  <c r="BV16" i="157"/>
  <c r="BV77" i="157"/>
  <c r="BV71" i="157"/>
  <c r="BV43" i="157"/>
  <c r="BV58" i="157"/>
  <c r="BV6" i="157"/>
  <c r="BV22" i="157"/>
  <c r="BV18" i="157"/>
  <c r="BV25" i="157"/>
  <c r="BS77" i="157"/>
  <c r="BV45" i="157"/>
  <c r="BS45" i="157"/>
  <c r="BS43" i="157"/>
  <c r="BS36" i="157"/>
  <c r="BO77" i="157"/>
  <c r="BS60" i="157"/>
  <c r="BS48" i="157"/>
  <c r="BS40" i="157"/>
  <c r="BS27" i="157"/>
  <c r="BS15" i="157"/>
  <c r="BS22" i="157"/>
  <c r="BS71" i="157"/>
  <c r="BS18" i="157"/>
  <c r="BS14" i="157"/>
  <c r="BS73" i="157"/>
  <c r="BS16" i="157"/>
  <c r="BS13" i="157"/>
  <c r="BS6" i="157"/>
  <c r="BP71" i="157"/>
  <c r="BP40" i="157"/>
  <c r="BP27" i="157"/>
  <c r="BP25" i="157"/>
  <c r="BP17" i="157"/>
  <c r="BO75" i="157"/>
  <c r="BO39" i="157"/>
  <c r="BO36" i="157"/>
  <c r="BO29" i="157"/>
  <c r="BO17" i="157"/>
  <c r="BP84" i="157"/>
  <c r="BP63" i="157"/>
  <c r="BP59" i="157"/>
  <c r="BP15" i="157"/>
  <c r="BP58" i="157"/>
  <c r="BP60" i="157"/>
  <c r="BP14" i="157"/>
  <c r="BP13" i="157"/>
  <c r="BP48" i="157"/>
  <c r="BP16" i="157"/>
  <c r="BP18" i="157"/>
  <c r="BL75" i="157"/>
  <c r="BL39" i="157"/>
  <c r="BL36" i="157"/>
  <c r="BL29" i="157"/>
  <c r="BL26" i="157"/>
  <c r="BL17" i="157"/>
  <c r="BM75" i="157" l="1"/>
  <c r="BF75" i="157"/>
  <c r="BM84" i="157"/>
  <c r="BM63" i="157"/>
  <c r="BM59" i="157"/>
  <c r="BM17" i="157"/>
  <c r="BM29" i="157"/>
  <c r="BM12" i="157"/>
  <c r="BM15" i="157"/>
  <c r="BM60" i="157" l="1"/>
  <c r="BM16" i="157"/>
  <c r="BM14" i="157"/>
  <c r="BG36" i="157"/>
  <c r="BM77" i="157"/>
  <c r="BM47" i="157"/>
  <c r="AZ15" i="157"/>
  <c r="BF39" i="157"/>
  <c r="BF36" i="157"/>
  <c r="BF29" i="157"/>
  <c r="BF17" i="157"/>
  <c r="BG63" i="157"/>
  <c r="BG84" i="157"/>
  <c r="BG75" i="157"/>
  <c r="BG59" i="157"/>
  <c r="BG17" i="157"/>
  <c r="BG29" i="157"/>
  <c r="BG39" i="157"/>
  <c r="BG12" i="157"/>
  <c r="BG14" i="157"/>
  <c r="BM13" i="157"/>
  <c r="BC18" i="157"/>
  <c r="BM68" i="157"/>
  <c r="BM40" i="157"/>
  <c r="BM27" i="157"/>
  <c r="BM22" i="157"/>
  <c r="BG18" i="157"/>
  <c r="BM18" i="157"/>
  <c r="BM48" i="157"/>
  <c r="BM25" i="157"/>
  <c r="BM6" i="157"/>
  <c r="BM71" i="157"/>
  <c r="BG47" i="157"/>
  <c r="BC47" i="157"/>
  <c r="BG48" i="157"/>
  <c r="BG43" i="157"/>
  <c r="BC17" i="157"/>
  <c r="AZ18" i="157"/>
  <c r="BD63" i="157"/>
  <c r="BC75" i="157"/>
  <c r="BC36" i="157"/>
  <c r="BC29" i="157"/>
  <c r="BC26" i="157"/>
  <c r="BD75" i="157" l="1"/>
  <c r="BD59" i="157"/>
  <c r="BD29" i="157"/>
  <c r="BD39" i="157"/>
  <c r="BD12" i="157"/>
  <c r="BD15" i="157"/>
  <c r="BD60" i="157"/>
  <c r="BD53" i="157"/>
  <c r="BD14" i="157"/>
  <c r="BG40" i="157"/>
  <c r="BG19" i="157"/>
  <c r="BG58" i="157"/>
  <c r="BG27" i="157"/>
  <c r="BG25" i="157"/>
  <c r="BG15" i="157"/>
  <c r="BG6" i="157"/>
  <c r="BD27" i="157" l="1"/>
  <c r="AX77" i="157" l="1"/>
  <c r="BD22" i="157"/>
  <c r="BD19" i="157"/>
  <c r="BD6" i="157"/>
  <c r="BD40" i="157"/>
  <c r="BD77" i="157"/>
  <c r="BD80" i="157"/>
  <c r="BD16" i="157"/>
  <c r="BD48" i="157"/>
  <c r="BD18" i="157"/>
  <c r="BD25" i="157"/>
  <c r="BD13" i="157"/>
  <c r="AZ60" i="157"/>
  <c r="BA60" i="157"/>
  <c r="AX60" i="157"/>
  <c r="AZ29" i="157"/>
  <c r="AZ75" i="157"/>
  <c r="BA63" i="157"/>
  <c r="BA59" i="157"/>
  <c r="BA17" i="157"/>
  <c r="BA29" i="157"/>
  <c r="BA12" i="157"/>
  <c r="AZ36" i="157" l="1"/>
  <c r="BA84" i="157" l="1"/>
  <c r="BA75" i="157"/>
  <c r="BA39" i="157"/>
  <c r="AT60" i="157" l="1"/>
  <c r="AT16" i="157"/>
  <c r="AK36" i="157"/>
  <c r="BA23" i="157"/>
  <c r="BA16" i="157"/>
  <c r="BA14" i="157"/>
  <c r="AU48" i="157"/>
  <c r="BA40" i="157"/>
  <c r="BA13" i="157"/>
  <c r="BA27" i="157"/>
  <c r="BA15" i="157"/>
  <c r="BA25" i="157"/>
  <c r="BA48" i="157"/>
  <c r="BA58" i="157"/>
  <c r="BA77" i="157"/>
  <c r="BA18" i="157"/>
  <c r="BA6" i="157"/>
  <c r="BA22" i="157"/>
  <c r="AX13" i="157"/>
  <c r="AX14" i="157"/>
  <c r="AX46" i="157"/>
  <c r="AT68" i="157"/>
  <c r="AX68" i="157"/>
  <c r="AX47" i="157"/>
  <c r="AX43" i="157"/>
  <c r="AX16" i="157"/>
  <c r="AT17" i="157"/>
  <c r="AU77" i="157"/>
  <c r="AX27" i="157"/>
  <c r="AX40" i="157"/>
  <c r="AX18" i="157"/>
  <c r="AX58" i="157"/>
  <c r="AX25" i="157"/>
  <c r="AX22" i="157"/>
  <c r="AX15" i="157"/>
  <c r="AU60" i="157"/>
  <c r="AU28" i="157" l="1"/>
  <c r="CV82" i="157"/>
  <c r="CW82" i="157"/>
  <c r="AV82" i="157"/>
  <c r="AY82" i="157" s="1"/>
  <c r="BB82" i="157" s="1"/>
  <c r="BE82" i="157" s="1"/>
  <c r="BH82" i="157" s="1"/>
  <c r="BK82" i="157" s="1"/>
  <c r="BN82" i="157" s="1"/>
  <c r="BQ82" i="157" s="1"/>
  <c r="BT82" i="157" s="1"/>
  <c r="BW82" i="157" s="1"/>
  <c r="BZ82" i="157" s="1"/>
  <c r="CC82" i="157" s="1"/>
  <c r="CF82" i="157" s="1"/>
  <c r="CI82" i="157" s="1"/>
  <c r="CL82" i="157" s="1"/>
  <c r="CO82" i="157" s="1"/>
  <c r="CR82" i="157" s="1"/>
  <c r="CU82" i="157" s="1"/>
  <c r="AT75" i="157"/>
  <c r="AT29" i="157"/>
  <c r="AU84" i="157"/>
  <c r="AU83" i="157"/>
  <c r="AU75" i="157"/>
  <c r="AU63" i="157"/>
  <c r="AU59" i="157"/>
  <c r="AU17" i="157"/>
  <c r="AU29" i="157"/>
  <c r="AU12" i="157"/>
  <c r="AU15" i="157"/>
  <c r="AU27" i="157"/>
  <c r="AU23" i="157"/>
  <c r="AU14" i="157"/>
  <c r="AU71" i="157"/>
  <c r="AU22" i="157"/>
  <c r="AU13" i="157"/>
  <c r="AK16" i="157"/>
  <c r="AR75" i="157"/>
  <c r="AQ60" i="157"/>
  <c r="AR84" i="157"/>
  <c r="AR63" i="157"/>
  <c r="AR59" i="157"/>
  <c r="AR17" i="157"/>
  <c r="AR29" i="157"/>
  <c r="AR12" i="157"/>
  <c r="AR14" i="157"/>
  <c r="AR16" i="157"/>
  <c r="AU43" i="157"/>
  <c r="AU25" i="157"/>
  <c r="AU24" i="157"/>
  <c r="AK75" i="157"/>
  <c r="AK60" i="157"/>
  <c r="AK59" i="157"/>
  <c r="AK39" i="157"/>
  <c r="AK29" i="157"/>
  <c r="AK17" i="157"/>
  <c r="AK12" i="157"/>
  <c r="DB82" i="157" l="1"/>
  <c r="DE82" i="157" s="1"/>
  <c r="CX82" i="157"/>
  <c r="CZ82" i="157" s="1"/>
  <c r="AL84" i="157"/>
  <c r="AL75" i="157"/>
  <c r="AL63" i="157"/>
  <c r="AL59" i="157"/>
  <c r="AL17" i="157"/>
  <c r="AL29" i="157"/>
  <c r="AL39" i="157"/>
  <c r="AL12" i="157"/>
  <c r="AL23" i="157"/>
  <c r="AL53" i="157"/>
  <c r="AL14" i="157"/>
  <c r="AL16" i="157"/>
  <c r="AU19" i="157"/>
  <c r="AU6" i="157"/>
  <c r="AU40" i="157"/>
  <c r="AU73" i="157"/>
  <c r="AU58" i="157"/>
  <c r="AU47" i="157"/>
  <c r="AU18" i="157"/>
  <c r="AI36" i="157"/>
  <c r="AL47" i="157"/>
  <c r="AL40" i="157"/>
  <c r="AL27" i="157"/>
  <c r="AL48" i="157" l="1"/>
  <c r="AL25" i="157"/>
  <c r="AH75" i="157"/>
  <c r="AH60" i="157"/>
  <c r="AH36" i="157"/>
  <c r="AH29" i="157"/>
  <c r="AH26" i="157"/>
  <c r="AH17" i="157"/>
  <c r="AI84" i="157"/>
  <c r="AI63" i="157"/>
  <c r="AI59" i="157"/>
  <c r="AI29" i="157"/>
  <c r="AI39" i="157"/>
  <c r="AI60" i="157"/>
  <c r="AI16" i="157"/>
  <c r="AI14" i="157"/>
  <c r="AF77" i="157"/>
  <c r="AI18" i="157"/>
  <c r="AC32" i="157"/>
  <c r="AI6" i="157"/>
  <c r="AI77" i="157"/>
  <c r="AI80" i="157"/>
  <c r="AI40" i="157"/>
  <c r="AI27" i="157"/>
  <c r="AI13" i="157"/>
  <c r="AI22" i="157"/>
  <c r="AI15" i="157"/>
  <c r="AI48" i="157"/>
  <c r="AI25" i="157"/>
  <c r="AE63" i="157"/>
  <c r="AF63" i="157"/>
  <c r="AE60" i="157"/>
  <c r="AF60" i="157"/>
  <c r="AE75" i="157" l="1"/>
  <c r="AE36" i="157"/>
  <c r="AE29" i="157"/>
  <c r="AE12" i="157"/>
  <c r="AF59" i="157" l="1"/>
  <c r="AF15" i="157"/>
  <c r="AF75" i="157"/>
  <c r="AF29" i="157"/>
  <c r="AF14" i="157"/>
  <c r="AF48" i="157"/>
  <c r="AF13" i="157"/>
  <c r="AF40" i="157"/>
  <c r="AF27" i="157"/>
  <c r="AF22" i="157"/>
  <c r="AF58" i="157"/>
  <c r="AF6" i="157"/>
  <c r="AF43" i="157"/>
  <c r="AC22" i="157"/>
  <c r="AC14" i="157"/>
  <c r="AC16" i="157"/>
  <c r="AB77" i="157"/>
  <c r="AC71" i="157"/>
  <c r="AC43" i="157"/>
  <c r="Y17" i="157"/>
  <c r="AC77" i="157"/>
  <c r="AC48" i="157"/>
  <c r="AC40" i="157"/>
  <c r="AC27" i="157"/>
  <c r="AC15" i="157"/>
  <c r="Z22" i="157"/>
  <c r="AC39" i="157"/>
  <c r="AC58" i="157"/>
  <c r="AC25" i="157"/>
  <c r="AC6" i="157"/>
  <c r="AC73" i="157"/>
  <c r="AC13" i="157"/>
  <c r="Z55" i="157"/>
  <c r="Z12" i="157"/>
  <c r="Y12" i="157"/>
  <c r="Y75" i="157"/>
  <c r="Y60" i="157"/>
  <c r="Y36" i="157"/>
  <c r="Y29" i="157"/>
  <c r="Y14" i="157"/>
  <c r="Z84" i="157"/>
  <c r="Z75" i="157"/>
  <c r="Z63" i="157"/>
  <c r="Z59" i="157"/>
  <c r="Z17" i="157"/>
  <c r="Z29" i="157"/>
  <c r="Z39" i="157"/>
  <c r="Z15" i="157"/>
  <c r="Z60" i="157"/>
  <c r="Z25" i="157"/>
  <c r="Z14" i="157"/>
  <c r="W60" i="157"/>
  <c r="Z16" i="157"/>
  <c r="Z48" i="157"/>
  <c r="W13" i="157"/>
  <c r="Z13" i="157"/>
  <c r="Z40" i="157"/>
  <c r="Z77" i="157"/>
  <c r="Z47" i="157"/>
  <c r="Z27" i="157"/>
  <c r="Z18" i="157"/>
  <c r="W16" i="157"/>
  <c r="W12" i="157"/>
  <c r="V75" i="157"/>
  <c r="V39" i="157"/>
  <c r="V29" i="157"/>
  <c r="V17" i="157"/>
  <c r="W84" i="157"/>
  <c r="W75" i="157"/>
  <c r="W63" i="157"/>
  <c r="W59" i="157"/>
  <c r="W17" i="157"/>
  <c r="W29" i="157"/>
  <c r="W39" i="157"/>
  <c r="W15" i="157"/>
  <c r="W14" i="157" l="1"/>
  <c r="W19" i="157"/>
  <c r="W18" i="157"/>
  <c r="P17" i="157"/>
  <c r="P75" i="157"/>
  <c r="P39" i="157"/>
  <c r="P36" i="157"/>
  <c r="P29" i="157"/>
  <c r="P27" i="157"/>
  <c r="Q75" i="157" l="1"/>
  <c r="Q63" i="157"/>
  <c r="Q59" i="157"/>
  <c r="Q17" i="157"/>
  <c r="Q29" i="157"/>
  <c r="Q12" i="157"/>
  <c r="Q15" i="157"/>
  <c r="Q6" i="157"/>
  <c r="Q25" i="157"/>
  <c r="Q27" i="157"/>
  <c r="Q40" i="157"/>
  <c r="W43" i="157"/>
  <c r="Q36" i="157"/>
  <c r="Q14" i="157"/>
  <c r="W6" i="157"/>
  <c r="W77" i="157"/>
  <c r="W40" i="157"/>
  <c r="W27" i="157"/>
  <c r="W22" i="157"/>
  <c r="W58" i="157"/>
  <c r="W47" i="157"/>
  <c r="W25" i="157"/>
  <c r="W71" i="157"/>
  <c r="Q48" i="157"/>
  <c r="Q13" i="157"/>
  <c r="M17" i="157"/>
  <c r="M75" i="157"/>
  <c r="M43" i="157"/>
  <c r="M39" i="157"/>
  <c r="M36" i="157"/>
  <c r="M29" i="157"/>
  <c r="M26" i="157"/>
  <c r="N75" i="157"/>
  <c r="N63" i="157"/>
  <c r="N59" i="157"/>
  <c r="N17" i="157"/>
  <c r="N29" i="157"/>
  <c r="N39" i="157"/>
  <c r="N12" i="157"/>
  <c r="J53" i="157"/>
  <c r="N60" i="157"/>
  <c r="N16" i="157"/>
  <c r="N14" i="157"/>
  <c r="N40" i="157"/>
  <c r="N27" i="157"/>
  <c r="N22" i="157"/>
  <c r="N6" i="157"/>
  <c r="N18" i="157"/>
  <c r="N73" i="157"/>
  <c r="N25" i="157"/>
  <c r="J16" i="157"/>
  <c r="N15" i="157"/>
  <c r="N48" i="157"/>
  <c r="K14" i="157"/>
  <c r="N19" i="157"/>
  <c r="N77" i="157"/>
  <c r="K17" i="157"/>
  <c r="J29" i="157" l="1"/>
  <c r="J75" i="157"/>
  <c r="J73" i="157"/>
  <c r="J50" i="157"/>
  <c r="J36" i="157"/>
  <c r="J22" i="157"/>
  <c r="J17" i="157"/>
  <c r="J14" i="157"/>
  <c r="K84" i="157" l="1"/>
  <c r="K83" i="157"/>
  <c r="K63" i="157"/>
  <c r="K59" i="157"/>
  <c r="K29" i="157"/>
  <c r="CQ73" i="156" l="1"/>
  <c r="K13" i="157"/>
  <c r="K48" i="157"/>
  <c r="K75" i="157"/>
  <c r="H40" i="157"/>
  <c r="H27" i="157"/>
  <c r="H25" i="157"/>
  <c r="K60" i="157"/>
  <c r="K23" i="157"/>
  <c r="K16" i="157"/>
  <c r="G60" i="157"/>
  <c r="K73" i="157"/>
  <c r="K40" i="157"/>
  <c r="K27" i="157"/>
  <c r="K19" i="157"/>
  <c r="G77" i="157"/>
  <c r="K80" i="157"/>
  <c r="K58" i="157"/>
  <c r="K15" i="157"/>
  <c r="K71" i="157"/>
  <c r="K18" i="157"/>
  <c r="H18" i="157"/>
  <c r="K22" i="156"/>
  <c r="CN22" i="156"/>
  <c r="K22" i="157"/>
  <c r="K6" i="157"/>
  <c r="H14" i="157"/>
  <c r="H16" i="157"/>
  <c r="H22" i="157"/>
  <c r="H77" i="157"/>
  <c r="H58" i="157"/>
  <c r="H43" i="157"/>
  <c r="CQ36" i="156"/>
  <c r="CQ17" i="156"/>
  <c r="CN17" i="156"/>
  <c r="BM32" i="156"/>
  <c r="CP29" i="156"/>
  <c r="CP14" i="156"/>
  <c r="CQ14" i="156"/>
  <c r="CP75" i="156"/>
  <c r="CP60" i="156" l="1"/>
  <c r="CP50" i="156"/>
  <c r="CP36" i="156"/>
  <c r="CQ75" i="156"/>
  <c r="CQ63" i="156"/>
  <c r="CQ59" i="156"/>
  <c r="CQ29" i="156"/>
  <c r="CQ77" i="156"/>
  <c r="CQ50" i="156"/>
  <c r="CQ27" i="156"/>
  <c r="CQ23" i="156"/>
  <c r="CQ16" i="156"/>
  <c r="CQ32" i="156"/>
  <c r="CQ22" i="156"/>
  <c r="CQ48" i="156"/>
  <c r="CQ15" i="156"/>
  <c r="CQ71" i="156"/>
  <c r="CQ40" i="156"/>
  <c r="CQ25" i="156"/>
  <c r="CQ43" i="156"/>
  <c r="CQ6" i="156"/>
  <c r="CQ46" i="156"/>
  <c r="CQ45" i="156"/>
  <c r="CM77" i="156"/>
  <c r="CM75" i="156"/>
  <c r="CM29" i="156"/>
  <c r="CM17" i="156"/>
  <c r="CW94" i="157"/>
  <c r="CV94" i="157"/>
  <c r="I94" i="157"/>
  <c r="L94" i="157" s="1"/>
  <c r="O94" i="157" s="1"/>
  <c r="R94" i="157" s="1"/>
  <c r="U94" i="157" s="1"/>
  <c r="X94" i="157" s="1"/>
  <c r="AA94" i="157" s="1"/>
  <c r="AD94" i="157" s="1"/>
  <c r="AG94" i="157" s="1"/>
  <c r="AJ94" i="157" s="1"/>
  <c r="AM94" i="157" s="1"/>
  <c r="AP94" i="157" s="1"/>
  <c r="AS94" i="157" s="1"/>
  <c r="AV94" i="157" s="1"/>
  <c r="AY94" i="157" s="1"/>
  <c r="BB94" i="157" s="1"/>
  <c r="BE94" i="157" s="1"/>
  <c r="BH94" i="157" s="1"/>
  <c r="BK94" i="157" s="1"/>
  <c r="BN94" i="157" s="1"/>
  <c r="BQ94" i="157" s="1"/>
  <c r="BT94" i="157" s="1"/>
  <c r="BW94" i="157" s="1"/>
  <c r="BZ94" i="157" s="1"/>
  <c r="CC94" i="157" s="1"/>
  <c r="CF94" i="157" s="1"/>
  <c r="CI94" i="157" s="1"/>
  <c r="CL94" i="157" s="1"/>
  <c r="CO94" i="157" s="1"/>
  <c r="CR94" i="157" s="1"/>
  <c r="CU94" i="157" s="1"/>
  <c r="CW93" i="157"/>
  <c r="CV93" i="157"/>
  <c r="I93" i="157"/>
  <c r="L93" i="157" s="1"/>
  <c r="O93" i="157" s="1"/>
  <c r="R93" i="157" s="1"/>
  <c r="U93" i="157" s="1"/>
  <c r="X93" i="157" s="1"/>
  <c r="AA93" i="157" s="1"/>
  <c r="AD93" i="157" s="1"/>
  <c r="AG93" i="157" s="1"/>
  <c r="AJ93" i="157" s="1"/>
  <c r="AM93" i="157" s="1"/>
  <c r="AP93" i="157" s="1"/>
  <c r="AS93" i="157" s="1"/>
  <c r="AV93" i="157" s="1"/>
  <c r="AY93" i="157" s="1"/>
  <c r="BB93" i="157" s="1"/>
  <c r="BE93" i="157" s="1"/>
  <c r="BH93" i="157" s="1"/>
  <c r="BK93" i="157" s="1"/>
  <c r="BN93" i="157" s="1"/>
  <c r="BQ93" i="157" s="1"/>
  <c r="BT93" i="157" s="1"/>
  <c r="BW93" i="157" s="1"/>
  <c r="BZ93" i="157" s="1"/>
  <c r="CC93" i="157" s="1"/>
  <c r="CF93" i="157" s="1"/>
  <c r="CI93" i="157" s="1"/>
  <c r="CL93" i="157" s="1"/>
  <c r="CO93" i="157" s="1"/>
  <c r="CR93" i="157" s="1"/>
  <c r="CU93" i="157" s="1"/>
  <c r="CW92" i="157"/>
  <c r="CV92" i="157"/>
  <c r="I92" i="157"/>
  <c r="L92" i="157" s="1"/>
  <c r="O92" i="157" s="1"/>
  <c r="R92" i="157" s="1"/>
  <c r="U92" i="157" s="1"/>
  <c r="X92" i="157" s="1"/>
  <c r="AA92" i="157" s="1"/>
  <c r="AD92" i="157" s="1"/>
  <c r="AG92" i="157" s="1"/>
  <c r="AJ92" i="157" s="1"/>
  <c r="AM92" i="157" s="1"/>
  <c r="AP92" i="157" s="1"/>
  <c r="AS92" i="157" s="1"/>
  <c r="AV92" i="157" s="1"/>
  <c r="AY92" i="157" s="1"/>
  <c r="BB92" i="157" s="1"/>
  <c r="BE92" i="157" s="1"/>
  <c r="BH92" i="157" s="1"/>
  <c r="BK92" i="157" s="1"/>
  <c r="BN92" i="157" s="1"/>
  <c r="BQ92" i="157" s="1"/>
  <c r="BT92" i="157" s="1"/>
  <c r="BW92" i="157" s="1"/>
  <c r="BZ92" i="157" s="1"/>
  <c r="CC92" i="157" s="1"/>
  <c r="CF92" i="157" s="1"/>
  <c r="CI92" i="157" s="1"/>
  <c r="CL92" i="157" s="1"/>
  <c r="CO92" i="157" s="1"/>
  <c r="CR92" i="157" s="1"/>
  <c r="CU92" i="157" s="1"/>
  <c r="DB92" i="157" s="1"/>
  <c r="DE92" i="157" s="1"/>
  <c r="CW91" i="157"/>
  <c r="CV91" i="157"/>
  <c r="I91" i="157"/>
  <c r="L91" i="157" s="1"/>
  <c r="O91" i="157" s="1"/>
  <c r="R91" i="157" s="1"/>
  <c r="U91" i="157" s="1"/>
  <c r="X91" i="157" s="1"/>
  <c r="AA91" i="157" s="1"/>
  <c r="AD91" i="157" s="1"/>
  <c r="AG91" i="157" s="1"/>
  <c r="AJ91" i="157" s="1"/>
  <c r="AM91" i="157" s="1"/>
  <c r="AP91" i="157" s="1"/>
  <c r="AS91" i="157" s="1"/>
  <c r="AV91" i="157" s="1"/>
  <c r="AY91" i="157" s="1"/>
  <c r="BB91" i="157" s="1"/>
  <c r="BE91" i="157" s="1"/>
  <c r="BH91" i="157" s="1"/>
  <c r="BK91" i="157" s="1"/>
  <c r="BN91" i="157" s="1"/>
  <c r="BQ91" i="157" s="1"/>
  <c r="BT91" i="157" s="1"/>
  <c r="BW91" i="157" s="1"/>
  <c r="BZ91" i="157" s="1"/>
  <c r="CC91" i="157" s="1"/>
  <c r="CF91" i="157" s="1"/>
  <c r="CI91" i="157" s="1"/>
  <c r="CL91" i="157" s="1"/>
  <c r="CO91" i="157" s="1"/>
  <c r="CR91" i="157" s="1"/>
  <c r="CU91" i="157" s="1"/>
  <c r="CW90" i="157"/>
  <c r="CV90" i="157"/>
  <c r="I90" i="157"/>
  <c r="L90" i="157" s="1"/>
  <c r="O90" i="157" s="1"/>
  <c r="R90" i="157" s="1"/>
  <c r="U90" i="157" s="1"/>
  <c r="X90" i="157" s="1"/>
  <c r="AA90" i="157" s="1"/>
  <c r="AD90" i="157" s="1"/>
  <c r="AG90" i="157" s="1"/>
  <c r="AJ90" i="157" s="1"/>
  <c r="AM90" i="157" s="1"/>
  <c r="AP90" i="157" s="1"/>
  <c r="AS90" i="157" s="1"/>
  <c r="AV90" i="157" s="1"/>
  <c r="AY90" i="157" s="1"/>
  <c r="BB90" i="157" s="1"/>
  <c r="BE90" i="157" s="1"/>
  <c r="BH90" i="157" s="1"/>
  <c r="BK90" i="157" s="1"/>
  <c r="BN90" i="157" s="1"/>
  <c r="BQ90" i="157" s="1"/>
  <c r="BT90" i="157" s="1"/>
  <c r="BW90" i="157" s="1"/>
  <c r="BZ90" i="157" s="1"/>
  <c r="CC90" i="157" s="1"/>
  <c r="CF90" i="157" s="1"/>
  <c r="CI90" i="157" s="1"/>
  <c r="CL90" i="157" s="1"/>
  <c r="CO90" i="157" s="1"/>
  <c r="CR90" i="157" s="1"/>
  <c r="CU90" i="157" s="1"/>
  <c r="CW89" i="157"/>
  <c r="CV89" i="157"/>
  <c r="I89" i="157"/>
  <c r="L89" i="157" s="1"/>
  <c r="O89" i="157" s="1"/>
  <c r="R89" i="157" s="1"/>
  <c r="U89" i="157" s="1"/>
  <c r="X89" i="157" s="1"/>
  <c r="AA89" i="157" s="1"/>
  <c r="AD89" i="157" s="1"/>
  <c r="AG89" i="157" s="1"/>
  <c r="AJ89" i="157" s="1"/>
  <c r="AM89" i="157" s="1"/>
  <c r="AP89" i="157" s="1"/>
  <c r="AS89" i="157" s="1"/>
  <c r="AV89" i="157" s="1"/>
  <c r="AY89" i="157" s="1"/>
  <c r="BB89" i="157" s="1"/>
  <c r="BE89" i="157" s="1"/>
  <c r="BH89" i="157" s="1"/>
  <c r="BK89" i="157" s="1"/>
  <c r="BN89" i="157" s="1"/>
  <c r="BQ89" i="157" s="1"/>
  <c r="BT89" i="157" s="1"/>
  <c r="BW89" i="157" s="1"/>
  <c r="BZ89" i="157" s="1"/>
  <c r="CC89" i="157" s="1"/>
  <c r="CF89" i="157" s="1"/>
  <c r="CI89" i="157" s="1"/>
  <c r="CL89" i="157" s="1"/>
  <c r="CO89" i="157" s="1"/>
  <c r="CR89" i="157" s="1"/>
  <c r="CU89" i="157" s="1"/>
  <c r="CW88" i="157"/>
  <c r="CV88" i="157"/>
  <c r="I88" i="157"/>
  <c r="L88" i="157" s="1"/>
  <c r="O88" i="157" s="1"/>
  <c r="R88" i="157" s="1"/>
  <c r="U88" i="157" s="1"/>
  <c r="X88" i="157" s="1"/>
  <c r="AA88" i="157" s="1"/>
  <c r="AD88" i="157" s="1"/>
  <c r="AG88" i="157" s="1"/>
  <c r="AJ88" i="157" s="1"/>
  <c r="AM88" i="157" s="1"/>
  <c r="AP88" i="157" s="1"/>
  <c r="AS88" i="157" s="1"/>
  <c r="AV88" i="157" s="1"/>
  <c r="AY88" i="157" s="1"/>
  <c r="BB88" i="157" s="1"/>
  <c r="BE88" i="157" s="1"/>
  <c r="BH88" i="157" s="1"/>
  <c r="BK88" i="157" s="1"/>
  <c r="BN88" i="157" s="1"/>
  <c r="BQ88" i="157" s="1"/>
  <c r="BT88" i="157" s="1"/>
  <c r="BW88" i="157" s="1"/>
  <c r="BZ88" i="157" s="1"/>
  <c r="CC88" i="157" s="1"/>
  <c r="CF88" i="157" s="1"/>
  <c r="CI88" i="157" s="1"/>
  <c r="CL88" i="157" s="1"/>
  <c r="CO88" i="157" s="1"/>
  <c r="CR88" i="157" s="1"/>
  <c r="CU88" i="157" s="1"/>
  <c r="CW87" i="157"/>
  <c r="CV87" i="157"/>
  <c r="I87" i="157"/>
  <c r="L87" i="157" s="1"/>
  <c r="O87" i="157" s="1"/>
  <c r="R87" i="157" s="1"/>
  <c r="U87" i="157" s="1"/>
  <c r="X87" i="157" s="1"/>
  <c r="AA87" i="157" s="1"/>
  <c r="AD87" i="157" s="1"/>
  <c r="AG87" i="157" s="1"/>
  <c r="AJ87" i="157" s="1"/>
  <c r="AM87" i="157" s="1"/>
  <c r="AP87" i="157" s="1"/>
  <c r="AS87" i="157" s="1"/>
  <c r="AV87" i="157" s="1"/>
  <c r="AY87" i="157" s="1"/>
  <c r="BB87" i="157" s="1"/>
  <c r="BE87" i="157" s="1"/>
  <c r="BH87" i="157" s="1"/>
  <c r="BK87" i="157" s="1"/>
  <c r="BN87" i="157" s="1"/>
  <c r="BQ87" i="157" s="1"/>
  <c r="BT87" i="157" s="1"/>
  <c r="BW87" i="157" s="1"/>
  <c r="BZ87" i="157" s="1"/>
  <c r="CC87" i="157" s="1"/>
  <c r="CF87" i="157" s="1"/>
  <c r="CI87" i="157" s="1"/>
  <c r="CL87" i="157" s="1"/>
  <c r="CO87" i="157" s="1"/>
  <c r="CR87" i="157" s="1"/>
  <c r="CU87" i="157" s="1"/>
  <c r="CW86" i="157"/>
  <c r="CV86" i="157"/>
  <c r="I86" i="157"/>
  <c r="L86" i="157" s="1"/>
  <c r="O86" i="157" s="1"/>
  <c r="R86" i="157" s="1"/>
  <c r="U86" i="157" s="1"/>
  <c r="X86" i="157" s="1"/>
  <c r="AA86" i="157" s="1"/>
  <c r="AD86" i="157" s="1"/>
  <c r="AG86" i="157" s="1"/>
  <c r="AJ86" i="157" s="1"/>
  <c r="AM86" i="157" s="1"/>
  <c r="AP86" i="157" s="1"/>
  <c r="AS86" i="157" s="1"/>
  <c r="AV86" i="157" s="1"/>
  <c r="AY86" i="157" s="1"/>
  <c r="BB86" i="157" s="1"/>
  <c r="BE86" i="157" s="1"/>
  <c r="BH86" i="157" s="1"/>
  <c r="BK86" i="157" s="1"/>
  <c r="BN86" i="157" s="1"/>
  <c r="BQ86" i="157" s="1"/>
  <c r="BT86" i="157" s="1"/>
  <c r="BW86" i="157" s="1"/>
  <c r="BZ86" i="157" s="1"/>
  <c r="CC86" i="157" s="1"/>
  <c r="CF86" i="157" s="1"/>
  <c r="CI86" i="157" s="1"/>
  <c r="CL86" i="157" s="1"/>
  <c r="CO86" i="157" s="1"/>
  <c r="CR86" i="157" s="1"/>
  <c r="CU86" i="157" s="1"/>
  <c r="CW85" i="157"/>
  <c r="CV85" i="157"/>
  <c r="I85" i="157"/>
  <c r="L85" i="157" s="1"/>
  <c r="O85" i="157" s="1"/>
  <c r="R85" i="157" s="1"/>
  <c r="U85" i="157" s="1"/>
  <c r="X85" i="157" s="1"/>
  <c r="AA85" i="157" s="1"/>
  <c r="AD85" i="157" s="1"/>
  <c r="AG85" i="157" s="1"/>
  <c r="AJ85" i="157" s="1"/>
  <c r="AM85" i="157" s="1"/>
  <c r="AP85" i="157" s="1"/>
  <c r="AS85" i="157" s="1"/>
  <c r="AV85" i="157" s="1"/>
  <c r="AY85" i="157" s="1"/>
  <c r="BB85" i="157" s="1"/>
  <c r="BE85" i="157" s="1"/>
  <c r="BH85" i="157" s="1"/>
  <c r="BK85" i="157" s="1"/>
  <c r="BN85" i="157" s="1"/>
  <c r="BQ85" i="157" s="1"/>
  <c r="BT85" i="157" s="1"/>
  <c r="BW85" i="157" s="1"/>
  <c r="BZ85" i="157" s="1"/>
  <c r="CC85" i="157" s="1"/>
  <c r="CF85" i="157" s="1"/>
  <c r="CI85" i="157" s="1"/>
  <c r="CL85" i="157" s="1"/>
  <c r="CO85" i="157" s="1"/>
  <c r="CR85" i="157" s="1"/>
  <c r="CU85" i="157" s="1"/>
  <c r="CX85" i="157" s="1"/>
  <c r="CZ85" i="157" s="1"/>
  <c r="CV84" i="157"/>
  <c r="I84" i="157"/>
  <c r="L84" i="157" s="1"/>
  <c r="O84" i="157" s="1"/>
  <c r="R84" i="157" s="1"/>
  <c r="CV83" i="157"/>
  <c r="CW83" i="157"/>
  <c r="I83" i="157"/>
  <c r="L83" i="157" s="1"/>
  <c r="O83" i="157" s="1"/>
  <c r="R83" i="157" s="1"/>
  <c r="U83" i="157" s="1"/>
  <c r="X83" i="157" s="1"/>
  <c r="AA83" i="157" s="1"/>
  <c r="AD83" i="157" s="1"/>
  <c r="AG83" i="157" s="1"/>
  <c r="AJ83" i="157" s="1"/>
  <c r="AM83" i="157" s="1"/>
  <c r="AP83" i="157" s="1"/>
  <c r="AS83" i="157" s="1"/>
  <c r="AV83" i="157" s="1"/>
  <c r="AY83" i="157" s="1"/>
  <c r="BB83" i="157" s="1"/>
  <c r="BE83" i="157" s="1"/>
  <c r="BH83" i="157" s="1"/>
  <c r="BK83" i="157" s="1"/>
  <c r="BN83" i="157" s="1"/>
  <c r="BQ83" i="157" s="1"/>
  <c r="BT83" i="157" s="1"/>
  <c r="BW83" i="157" s="1"/>
  <c r="BZ83" i="157" s="1"/>
  <c r="CC83" i="157" s="1"/>
  <c r="CF83" i="157" s="1"/>
  <c r="CI83" i="157" s="1"/>
  <c r="CL83" i="157" s="1"/>
  <c r="CO83" i="157" s="1"/>
  <c r="CR83" i="157" s="1"/>
  <c r="CU83" i="157" s="1"/>
  <c r="CW81" i="157"/>
  <c r="CV81" i="157"/>
  <c r="I81" i="157"/>
  <c r="L81" i="157" s="1"/>
  <c r="O81" i="157" s="1"/>
  <c r="R81" i="157" s="1"/>
  <c r="U81" i="157" s="1"/>
  <c r="X81" i="157" s="1"/>
  <c r="AA81" i="157" s="1"/>
  <c r="AD81" i="157" s="1"/>
  <c r="AG81" i="157" s="1"/>
  <c r="AJ81" i="157" s="1"/>
  <c r="AM81" i="157" s="1"/>
  <c r="AP81" i="157" s="1"/>
  <c r="AS81" i="157" s="1"/>
  <c r="AV81" i="157" s="1"/>
  <c r="AY81" i="157" s="1"/>
  <c r="BB81" i="157" s="1"/>
  <c r="BE81" i="157" s="1"/>
  <c r="BH81" i="157" s="1"/>
  <c r="BK81" i="157" s="1"/>
  <c r="BN81" i="157" s="1"/>
  <c r="BQ81" i="157" s="1"/>
  <c r="BT81" i="157" s="1"/>
  <c r="BW81" i="157" s="1"/>
  <c r="BZ81" i="157" s="1"/>
  <c r="CC81" i="157" s="1"/>
  <c r="CF81" i="157" s="1"/>
  <c r="CI81" i="157" s="1"/>
  <c r="CL81" i="157" s="1"/>
  <c r="CO81" i="157" s="1"/>
  <c r="CR81" i="157" s="1"/>
  <c r="CU81" i="157" s="1"/>
  <c r="CV80" i="157"/>
  <c r="CW80" i="157"/>
  <c r="I80" i="157"/>
  <c r="L80" i="157" s="1"/>
  <c r="O80" i="157" s="1"/>
  <c r="R80" i="157" s="1"/>
  <c r="U80" i="157" s="1"/>
  <c r="X80" i="157" s="1"/>
  <c r="AA80" i="157" s="1"/>
  <c r="AD80" i="157" s="1"/>
  <c r="AG80" i="157" s="1"/>
  <c r="AJ80" i="157" s="1"/>
  <c r="AM80" i="157" s="1"/>
  <c r="AP80" i="157" s="1"/>
  <c r="AS80" i="157" s="1"/>
  <c r="AV80" i="157" s="1"/>
  <c r="AY80" i="157" s="1"/>
  <c r="BB80" i="157" s="1"/>
  <c r="BE80" i="157" s="1"/>
  <c r="BH80" i="157" s="1"/>
  <c r="BK80" i="157" s="1"/>
  <c r="BN80" i="157" s="1"/>
  <c r="BQ80" i="157" s="1"/>
  <c r="BT80" i="157" s="1"/>
  <c r="BW80" i="157" s="1"/>
  <c r="BZ80" i="157" s="1"/>
  <c r="CC80" i="157" s="1"/>
  <c r="CF80" i="157" s="1"/>
  <c r="CI80" i="157" s="1"/>
  <c r="CL80" i="157" s="1"/>
  <c r="CO80" i="157" s="1"/>
  <c r="CR80" i="157" s="1"/>
  <c r="CU80" i="157" s="1"/>
  <c r="CW79" i="157"/>
  <c r="CV79" i="157"/>
  <c r="I79" i="157"/>
  <c r="L79" i="157" s="1"/>
  <c r="O79" i="157" s="1"/>
  <c r="R79" i="157" s="1"/>
  <c r="U79" i="157" s="1"/>
  <c r="X79" i="157" s="1"/>
  <c r="AA79" i="157" s="1"/>
  <c r="AD79" i="157" s="1"/>
  <c r="AG79" i="157" s="1"/>
  <c r="AJ79" i="157" s="1"/>
  <c r="AM79" i="157" s="1"/>
  <c r="AP79" i="157" s="1"/>
  <c r="AS79" i="157" s="1"/>
  <c r="AV79" i="157" s="1"/>
  <c r="AY79" i="157" s="1"/>
  <c r="BB79" i="157" s="1"/>
  <c r="BE79" i="157" s="1"/>
  <c r="BH79" i="157" s="1"/>
  <c r="BK79" i="157" s="1"/>
  <c r="BN79" i="157" s="1"/>
  <c r="BQ79" i="157" s="1"/>
  <c r="BT79" i="157" s="1"/>
  <c r="BW79" i="157" s="1"/>
  <c r="BZ79" i="157" s="1"/>
  <c r="CC79" i="157" s="1"/>
  <c r="CF79" i="157" s="1"/>
  <c r="CI79" i="157" s="1"/>
  <c r="CL79" i="157" s="1"/>
  <c r="CO79" i="157" s="1"/>
  <c r="CR79" i="157" s="1"/>
  <c r="CU79" i="157" s="1"/>
  <c r="CZ78" i="157"/>
  <c r="CW78" i="157"/>
  <c r="CV78" i="157"/>
  <c r="I78" i="157"/>
  <c r="L78" i="157" s="1"/>
  <c r="O78" i="157" s="1"/>
  <c r="R78" i="157" s="1"/>
  <c r="U78" i="157" s="1"/>
  <c r="X78" i="157" s="1"/>
  <c r="AA78" i="157" s="1"/>
  <c r="AD78" i="157" s="1"/>
  <c r="AG78" i="157" s="1"/>
  <c r="AJ78" i="157" s="1"/>
  <c r="AM78" i="157" s="1"/>
  <c r="AP78" i="157" s="1"/>
  <c r="AS78" i="157" s="1"/>
  <c r="AV78" i="157" s="1"/>
  <c r="AY78" i="157" s="1"/>
  <c r="BB78" i="157" s="1"/>
  <c r="BE78" i="157" s="1"/>
  <c r="BH78" i="157" s="1"/>
  <c r="BK78" i="157" s="1"/>
  <c r="BN78" i="157" s="1"/>
  <c r="BQ78" i="157" s="1"/>
  <c r="BT78" i="157" s="1"/>
  <c r="BW78" i="157" s="1"/>
  <c r="BZ78" i="157" s="1"/>
  <c r="CC78" i="157" s="1"/>
  <c r="CF78" i="157" s="1"/>
  <c r="CI78" i="157" s="1"/>
  <c r="CL78" i="157" s="1"/>
  <c r="CO78" i="157" s="1"/>
  <c r="CR78" i="157" s="1"/>
  <c r="CU78" i="157" s="1"/>
  <c r="DB78" i="157" s="1"/>
  <c r="DE78" i="157" s="1"/>
  <c r="CW76" i="157"/>
  <c r="CV76" i="157"/>
  <c r="I76" i="157"/>
  <c r="L76" i="157" s="1"/>
  <c r="O76" i="157" s="1"/>
  <c r="R76" i="157" s="1"/>
  <c r="U76" i="157" s="1"/>
  <c r="X76" i="157" s="1"/>
  <c r="AA76" i="157" s="1"/>
  <c r="AD76" i="157" s="1"/>
  <c r="AG76" i="157" s="1"/>
  <c r="AJ76" i="157" s="1"/>
  <c r="AM76" i="157" s="1"/>
  <c r="AP76" i="157" s="1"/>
  <c r="AS76" i="157" s="1"/>
  <c r="AV76" i="157" s="1"/>
  <c r="AY76" i="157" s="1"/>
  <c r="BB76" i="157" s="1"/>
  <c r="BE76" i="157" s="1"/>
  <c r="BH76" i="157" s="1"/>
  <c r="BK76" i="157" s="1"/>
  <c r="BN76" i="157" s="1"/>
  <c r="BQ76" i="157" s="1"/>
  <c r="BT76" i="157" s="1"/>
  <c r="BW76" i="157" s="1"/>
  <c r="BZ76" i="157" s="1"/>
  <c r="CC76" i="157" s="1"/>
  <c r="CF76" i="157" s="1"/>
  <c r="CI76" i="157" s="1"/>
  <c r="CL76" i="157" s="1"/>
  <c r="CO76" i="157" s="1"/>
  <c r="CR76" i="157" s="1"/>
  <c r="CU76" i="157" s="1"/>
  <c r="I75" i="157"/>
  <c r="L75" i="157" s="1"/>
  <c r="O75" i="157" s="1"/>
  <c r="R75" i="157" s="1"/>
  <c r="U75" i="157" s="1"/>
  <c r="X75" i="157" s="1"/>
  <c r="AA75" i="157" s="1"/>
  <c r="AD75" i="157" s="1"/>
  <c r="AG75" i="157" s="1"/>
  <c r="AJ75" i="157" s="1"/>
  <c r="AM75" i="157" s="1"/>
  <c r="AP75" i="157" s="1"/>
  <c r="AS75" i="157" s="1"/>
  <c r="AV75" i="157" s="1"/>
  <c r="AY75" i="157" s="1"/>
  <c r="BB75" i="157" s="1"/>
  <c r="BE75" i="157" s="1"/>
  <c r="BH75" i="157" s="1"/>
  <c r="BK75" i="157" s="1"/>
  <c r="BN75" i="157" s="1"/>
  <c r="BQ75" i="157" s="1"/>
  <c r="BT75" i="157" s="1"/>
  <c r="BW75" i="157" s="1"/>
  <c r="BZ75" i="157" s="1"/>
  <c r="CC75" i="157" s="1"/>
  <c r="CF75" i="157" s="1"/>
  <c r="CI75" i="157" s="1"/>
  <c r="CL75" i="157" s="1"/>
  <c r="CO75" i="157" s="1"/>
  <c r="CR75" i="157" s="1"/>
  <c r="CU75" i="157" s="1"/>
  <c r="CW74" i="157"/>
  <c r="CV74" i="157"/>
  <c r="I74" i="157"/>
  <c r="L74" i="157" s="1"/>
  <c r="O74" i="157" s="1"/>
  <c r="R74" i="157" s="1"/>
  <c r="U74" i="157" s="1"/>
  <c r="X74" i="157" s="1"/>
  <c r="AA74" i="157" s="1"/>
  <c r="AD74" i="157" s="1"/>
  <c r="AG74" i="157" s="1"/>
  <c r="AJ74" i="157" s="1"/>
  <c r="AM74" i="157" s="1"/>
  <c r="AP74" i="157" s="1"/>
  <c r="AS74" i="157" s="1"/>
  <c r="AV74" i="157" s="1"/>
  <c r="AY74" i="157" s="1"/>
  <c r="BB74" i="157" s="1"/>
  <c r="BE74" i="157" s="1"/>
  <c r="BH74" i="157" s="1"/>
  <c r="BK74" i="157" s="1"/>
  <c r="BN74" i="157" s="1"/>
  <c r="BQ74" i="157" s="1"/>
  <c r="BT74" i="157" s="1"/>
  <c r="BW74" i="157" s="1"/>
  <c r="BZ74" i="157" s="1"/>
  <c r="CC74" i="157" s="1"/>
  <c r="CF74" i="157" s="1"/>
  <c r="CI74" i="157" s="1"/>
  <c r="CL74" i="157" s="1"/>
  <c r="CO74" i="157" s="1"/>
  <c r="CR74" i="157" s="1"/>
  <c r="CU74" i="157" s="1"/>
  <c r="CW73" i="157"/>
  <c r="CV73" i="157"/>
  <c r="I73" i="157"/>
  <c r="L73" i="157" s="1"/>
  <c r="O73" i="157" s="1"/>
  <c r="R73" i="157" s="1"/>
  <c r="U73" i="157" s="1"/>
  <c r="X73" i="157" s="1"/>
  <c r="AA73" i="157" s="1"/>
  <c r="AD73" i="157" s="1"/>
  <c r="AG73" i="157" s="1"/>
  <c r="AJ73" i="157" s="1"/>
  <c r="AM73" i="157" s="1"/>
  <c r="AP73" i="157" s="1"/>
  <c r="AS73" i="157" s="1"/>
  <c r="AV73" i="157" s="1"/>
  <c r="AY73" i="157" s="1"/>
  <c r="BB73" i="157" s="1"/>
  <c r="BE73" i="157" s="1"/>
  <c r="BH73" i="157" s="1"/>
  <c r="BK73" i="157" s="1"/>
  <c r="BN73" i="157" s="1"/>
  <c r="BQ73" i="157" s="1"/>
  <c r="BT73" i="157" s="1"/>
  <c r="BW73" i="157" s="1"/>
  <c r="BZ73" i="157" s="1"/>
  <c r="CC73" i="157" s="1"/>
  <c r="CF73" i="157" s="1"/>
  <c r="CI73" i="157" s="1"/>
  <c r="CL73" i="157" s="1"/>
  <c r="CO73" i="157" s="1"/>
  <c r="CR73" i="157" s="1"/>
  <c r="CU73" i="157" s="1"/>
  <c r="CW72" i="157"/>
  <c r="CV72" i="157"/>
  <c r="I72" i="157"/>
  <c r="L72" i="157" s="1"/>
  <c r="O72" i="157" s="1"/>
  <c r="R72" i="157" s="1"/>
  <c r="U72" i="157" s="1"/>
  <c r="X72" i="157" s="1"/>
  <c r="AA72" i="157" s="1"/>
  <c r="AD72" i="157" s="1"/>
  <c r="AG72" i="157" s="1"/>
  <c r="AJ72" i="157" s="1"/>
  <c r="AM72" i="157" s="1"/>
  <c r="AP72" i="157" s="1"/>
  <c r="AS72" i="157" s="1"/>
  <c r="AV72" i="157" s="1"/>
  <c r="AY72" i="157" s="1"/>
  <c r="BB72" i="157" s="1"/>
  <c r="BE72" i="157" s="1"/>
  <c r="BH72" i="157" s="1"/>
  <c r="BK72" i="157" s="1"/>
  <c r="BN72" i="157" s="1"/>
  <c r="BQ72" i="157" s="1"/>
  <c r="BT72" i="157" s="1"/>
  <c r="BW72" i="157" s="1"/>
  <c r="BZ72" i="157" s="1"/>
  <c r="CC72" i="157" s="1"/>
  <c r="CF72" i="157" s="1"/>
  <c r="CI72" i="157" s="1"/>
  <c r="CL72" i="157" s="1"/>
  <c r="CO72" i="157" s="1"/>
  <c r="CR72" i="157" s="1"/>
  <c r="CU72" i="157" s="1"/>
  <c r="CV71" i="157"/>
  <c r="CW71" i="157"/>
  <c r="I71" i="157"/>
  <c r="L71" i="157" s="1"/>
  <c r="O71" i="157" s="1"/>
  <c r="R71" i="157" s="1"/>
  <c r="U71" i="157" s="1"/>
  <c r="X71" i="157" s="1"/>
  <c r="AA71" i="157" s="1"/>
  <c r="AD71" i="157" s="1"/>
  <c r="AG71" i="157" s="1"/>
  <c r="AJ71" i="157" s="1"/>
  <c r="AM71" i="157" s="1"/>
  <c r="AP71" i="157" s="1"/>
  <c r="AS71" i="157" s="1"/>
  <c r="AV71" i="157" s="1"/>
  <c r="AY71" i="157" s="1"/>
  <c r="BB71" i="157" s="1"/>
  <c r="BE71" i="157" s="1"/>
  <c r="BH71" i="157" s="1"/>
  <c r="BK71" i="157" s="1"/>
  <c r="BN71" i="157" s="1"/>
  <c r="BQ71" i="157" s="1"/>
  <c r="BT71" i="157" s="1"/>
  <c r="BW71" i="157" s="1"/>
  <c r="BZ71" i="157" s="1"/>
  <c r="CC71" i="157" s="1"/>
  <c r="CF71" i="157" s="1"/>
  <c r="CI71" i="157" s="1"/>
  <c r="CL71" i="157" s="1"/>
  <c r="CO71" i="157" s="1"/>
  <c r="CR71" i="157" s="1"/>
  <c r="CU71" i="157" s="1"/>
  <c r="CW70" i="157"/>
  <c r="CV70" i="157"/>
  <c r="I70" i="157"/>
  <c r="L70" i="157" s="1"/>
  <c r="O70" i="157" s="1"/>
  <c r="R70" i="157" s="1"/>
  <c r="U70" i="157" s="1"/>
  <c r="X70" i="157" s="1"/>
  <c r="AA70" i="157" s="1"/>
  <c r="AD70" i="157" s="1"/>
  <c r="AG70" i="157" s="1"/>
  <c r="AJ70" i="157" s="1"/>
  <c r="AM70" i="157" s="1"/>
  <c r="AP70" i="157" s="1"/>
  <c r="AS70" i="157" s="1"/>
  <c r="AV70" i="157" s="1"/>
  <c r="AY70" i="157" s="1"/>
  <c r="BB70" i="157" s="1"/>
  <c r="BE70" i="157" s="1"/>
  <c r="BH70" i="157" s="1"/>
  <c r="BK70" i="157" s="1"/>
  <c r="BN70" i="157" s="1"/>
  <c r="BQ70" i="157" s="1"/>
  <c r="BT70" i="157" s="1"/>
  <c r="BW70" i="157" s="1"/>
  <c r="BZ70" i="157" s="1"/>
  <c r="CC70" i="157" s="1"/>
  <c r="CF70" i="157" s="1"/>
  <c r="CI70" i="157" s="1"/>
  <c r="CL70" i="157" s="1"/>
  <c r="CO70" i="157" s="1"/>
  <c r="CR70" i="157" s="1"/>
  <c r="CU70" i="157" s="1"/>
  <c r="CW69" i="157"/>
  <c r="CV69" i="157"/>
  <c r="I69" i="157"/>
  <c r="L69" i="157" s="1"/>
  <c r="O69" i="157" s="1"/>
  <c r="R69" i="157" s="1"/>
  <c r="U69" i="157" s="1"/>
  <c r="X69" i="157" s="1"/>
  <c r="AA69" i="157" s="1"/>
  <c r="AD69" i="157" s="1"/>
  <c r="AG69" i="157" s="1"/>
  <c r="AJ69" i="157" s="1"/>
  <c r="AM69" i="157" s="1"/>
  <c r="AP69" i="157" s="1"/>
  <c r="AS69" i="157" s="1"/>
  <c r="AV69" i="157" s="1"/>
  <c r="AY69" i="157" s="1"/>
  <c r="BB69" i="157" s="1"/>
  <c r="BE69" i="157" s="1"/>
  <c r="BH69" i="157" s="1"/>
  <c r="BK69" i="157" s="1"/>
  <c r="BN69" i="157" s="1"/>
  <c r="BQ69" i="157" s="1"/>
  <c r="BT69" i="157" s="1"/>
  <c r="BW69" i="157" s="1"/>
  <c r="BZ69" i="157" s="1"/>
  <c r="CC69" i="157" s="1"/>
  <c r="CF69" i="157" s="1"/>
  <c r="CI69" i="157" s="1"/>
  <c r="CL69" i="157" s="1"/>
  <c r="CO69" i="157" s="1"/>
  <c r="CR69" i="157" s="1"/>
  <c r="CU69" i="157" s="1"/>
  <c r="CW68" i="157"/>
  <c r="CV68" i="157"/>
  <c r="I68" i="157"/>
  <c r="L68" i="157" s="1"/>
  <c r="O68" i="157" s="1"/>
  <c r="R68" i="157" s="1"/>
  <c r="U68" i="157" s="1"/>
  <c r="X68" i="157" s="1"/>
  <c r="AA68" i="157" s="1"/>
  <c r="AD68" i="157" s="1"/>
  <c r="AG68" i="157" s="1"/>
  <c r="AJ68" i="157" s="1"/>
  <c r="AM68" i="157" s="1"/>
  <c r="AP68" i="157" s="1"/>
  <c r="AS68" i="157" s="1"/>
  <c r="AV68" i="157" s="1"/>
  <c r="AY68" i="157" s="1"/>
  <c r="BB68" i="157" s="1"/>
  <c r="BE68" i="157" s="1"/>
  <c r="BH68" i="157" s="1"/>
  <c r="BK68" i="157" s="1"/>
  <c r="BN68" i="157" s="1"/>
  <c r="BQ68" i="157" s="1"/>
  <c r="BT68" i="157" s="1"/>
  <c r="BW68" i="157" s="1"/>
  <c r="BZ68" i="157" s="1"/>
  <c r="CC68" i="157" s="1"/>
  <c r="CF68" i="157" s="1"/>
  <c r="CI68" i="157" s="1"/>
  <c r="CL68" i="157" s="1"/>
  <c r="CO68" i="157" s="1"/>
  <c r="CR68" i="157" s="1"/>
  <c r="CU68" i="157" s="1"/>
  <c r="CW67" i="157"/>
  <c r="CV67" i="157"/>
  <c r="I67" i="157"/>
  <c r="L67" i="157" s="1"/>
  <c r="O67" i="157" s="1"/>
  <c r="R67" i="157" s="1"/>
  <c r="U67" i="157" s="1"/>
  <c r="X67" i="157" s="1"/>
  <c r="AA67" i="157" s="1"/>
  <c r="AD67" i="157" s="1"/>
  <c r="AG67" i="157" s="1"/>
  <c r="AJ67" i="157" s="1"/>
  <c r="AM67" i="157" s="1"/>
  <c r="AP67" i="157" s="1"/>
  <c r="AS67" i="157" s="1"/>
  <c r="AV67" i="157" s="1"/>
  <c r="AY67" i="157" s="1"/>
  <c r="BB67" i="157" s="1"/>
  <c r="BE67" i="157" s="1"/>
  <c r="BH67" i="157" s="1"/>
  <c r="BK67" i="157" s="1"/>
  <c r="BN67" i="157" s="1"/>
  <c r="BQ67" i="157" s="1"/>
  <c r="BT67" i="157" s="1"/>
  <c r="BW67" i="157" s="1"/>
  <c r="BZ67" i="157" s="1"/>
  <c r="CC67" i="157" s="1"/>
  <c r="CF67" i="157" s="1"/>
  <c r="CI67" i="157" s="1"/>
  <c r="CL67" i="157" s="1"/>
  <c r="CO67" i="157" s="1"/>
  <c r="CR67" i="157" s="1"/>
  <c r="CU67" i="157" s="1"/>
  <c r="CW66" i="157"/>
  <c r="CV66" i="157"/>
  <c r="I66" i="157"/>
  <c r="L66" i="157" s="1"/>
  <c r="O66" i="157" s="1"/>
  <c r="R66" i="157" s="1"/>
  <c r="U66" i="157" s="1"/>
  <c r="X66" i="157" s="1"/>
  <c r="AA66" i="157" s="1"/>
  <c r="AD66" i="157" s="1"/>
  <c r="AG66" i="157" s="1"/>
  <c r="AJ66" i="157" s="1"/>
  <c r="AM66" i="157" s="1"/>
  <c r="AP66" i="157" s="1"/>
  <c r="AS66" i="157" s="1"/>
  <c r="AV66" i="157" s="1"/>
  <c r="AY66" i="157" s="1"/>
  <c r="BB66" i="157" s="1"/>
  <c r="BE66" i="157" s="1"/>
  <c r="BH66" i="157" s="1"/>
  <c r="BK66" i="157" s="1"/>
  <c r="BN66" i="157" s="1"/>
  <c r="BQ66" i="157" s="1"/>
  <c r="BT66" i="157" s="1"/>
  <c r="BW66" i="157" s="1"/>
  <c r="BZ66" i="157" s="1"/>
  <c r="CC66" i="157" s="1"/>
  <c r="CF66" i="157" s="1"/>
  <c r="CI66" i="157" s="1"/>
  <c r="CL66" i="157" s="1"/>
  <c r="CO66" i="157" s="1"/>
  <c r="CR66" i="157" s="1"/>
  <c r="CU66" i="157" s="1"/>
  <c r="CW65" i="157"/>
  <c r="CV65" i="157"/>
  <c r="I65" i="157"/>
  <c r="L65" i="157" s="1"/>
  <c r="O65" i="157" s="1"/>
  <c r="R65" i="157" s="1"/>
  <c r="U65" i="157" s="1"/>
  <c r="X65" i="157" s="1"/>
  <c r="AA65" i="157" s="1"/>
  <c r="AD65" i="157" s="1"/>
  <c r="AG65" i="157" s="1"/>
  <c r="AJ65" i="157" s="1"/>
  <c r="AM65" i="157" s="1"/>
  <c r="AP65" i="157" s="1"/>
  <c r="AS65" i="157" s="1"/>
  <c r="AV65" i="157" s="1"/>
  <c r="AY65" i="157" s="1"/>
  <c r="BB65" i="157" s="1"/>
  <c r="BE65" i="157" s="1"/>
  <c r="BH65" i="157" s="1"/>
  <c r="BK65" i="157" s="1"/>
  <c r="BN65" i="157" s="1"/>
  <c r="BQ65" i="157" s="1"/>
  <c r="BT65" i="157" s="1"/>
  <c r="BW65" i="157" s="1"/>
  <c r="BZ65" i="157" s="1"/>
  <c r="CC65" i="157" s="1"/>
  <c r="CF65" i="157" s="1"/>
  <c r="CI65" i="157" s="1"/>
  <c r="CL65" i="157" s="1"/>
  <c r="CO65" i="157" s="1"/>
  <c r="CR65" i="157" s="1"/>
  <c r="CU65" i="157" s="1"/>
  <c r="CW64" i="157"/>
  <c r="CV64" i="157"/>
  <c r="I64" i="157"/>
  <c r="L64" i="157" s="1"/>
  <c r="O64" i="157" s="1"/>
  <c r="R64" i="157" s="1"/>
  <c r="U64" i="157" s="1"/>
  <c r="X64" i="157" s="1"/>
  <c r="AA64" i="157" s="1"/>
  <c r="AD64" i="157" s="1"/>
  <c r="AG64" i="157" s="1"/>
  <c r="AJ64" i="157" s="1"/>
  <c r="AM64" i="157" s="1"/>
  <c r="AP64" i="157" s="1"/>
  <c r="AS64" i="157" s="1"/>
  <c r="AV64" i="157" s="1"/>
  <c r="AY64" i="157" s="1"/>
  <c r="BB64" i="157" s="1"/>
  <c r="BE64" i="157" s="1"/>
  <c r="BH64" i="157" s="1"/>
  <c r="BK64" i="157" s="1"/>
  <c r="BN64" i="157" s="1"/>
  <c r="BQ64" i="157" s="1"/>
  <c r="BT64" i="157" s="1"/>
  <c r="BW64" i="157" s="1"/>
  <c r="BZ64" i="157" s="1"/>
  <c r="CC64" i="157" s="1"/>
  <c r="CF64" i="157" s="1"/>
  <c r="CI64" i="157" s="1"/>
  <c r="CL64" i="157" s="1"/>
  <c r="CO64" i="157" s="1"/>
  <c r="CR64" i="157" s="1"/>
  <c r="CU64" i="157" s="1"/>
  <c r="I63" i="157"/>
  <c r="L63" i="157" s="1"/>
  <c r="O63" i="157" s="1"/>
  <c r="R63" i="157" s="1"/>
  <c r="U63" i="157" s="1"/>
  <c r="X63" i="157" s="1"/>
  <c r="AA63" i="157" s="1"/>
  <c r="AD63" i="157" s="1"/>
  <c r="AG63" i="157" s="1"/>
  <c r="AJ63" i="157" s="1"/>
  <c r="AM63" i="157" s="1"/>
  <c r="AP63" i="157" s="1"/>
  <c r="AS63" i="157" s="1"/>
  <c r="AV63" i="157" s="1"/>
  <c r="AY63" i="157" s="1"/>
  <c r="CW62" i="157"/>
  <c r="CV62" i="157"/>
  <c r="I62" i="157"/>
  <c r="L62" i="157" s="1"/>
  <c r="O62" i="157" s="1"/>
  <c r="R62" i="157" s="1"/>
  <c r="U62" i="157" s="1"/>
  <c r="X62" i="157" s="1"/>
  <c r="AA62" i="157" s="1"/>
  <c r="AD62" i="157" s="1"/>
  <c r="AG62" i="157" s="1"/>
  <c r="AJ62" i="157" s="1"/>
  <c r="AM62" i="157" s="1"/>
  <c r="AP62" i="157" s="1"/>
  <c r="AS62" i="157" s="1"/>
  <c r="AV62" i="157" s="1"/>
  <c r="AY62" i="157" s="1"/>
  <c r="BB62" i="157" s="1"/>
  <c r="BE62" i="157" s="1"/>
  <c r="BH62" i="157" s="1"/>
  <c r="BK62" i="157" s="1"/>
  <c r="BN62" i="157" s="1"/>
  <c r="BQ62" i="157" s="1"/>
  <c r="BT62" i="157" s="1"/>
  <c r="BW62" i="157" s="1"/>
  <c r="BZ62" i="157" s="1"/>
  <c r="CC62" i="157" s="1"/>
  <c r="CF62" i="157" s="1"/>
  <c r="CI62" i="157" s="1"/>
  <c r="CL62" i="157" s="1"/>
  <c r="CO62" i="157" s="1"/>
  <c r="CR62" i="157" s="1"/>
  <c r="CU62" i="157" s="1"/>
  <c r="CW61" i="157"/>
  <c r="CV61" i="157"/>
  <c r="I61" i="157"/>
  <c r="L61" i="157" s="1"/>
  <c r="O61" i="157" s="1"/>
  <c r="R61" i="157" s="1"/>
  <c r="U61" i="157" s="1"/>
  <c r="X61" i="157" s="1"/>
  <c r="AA61" i="157" s="1"/>
  <c r="AD61" i="157" s="1"/>
  <c r="AG61" i="157" s="1"/>
  <c r="AJ61" i="157" s="1"/>
  <c r="AM61" i="157" s="1"/>
  <c r="AP61" i="157" s="1"/>
  <c r="AS61" i="157" s="1"/>
  <c r="AV61" i="157" s="1"/>
  <c r="AY61" i="157" s="1"/>
  <c r="BB61" i="157" s="1"/>
  <c r="BE61" i="157" s="1"/>
  <c r="BH61" i="157" s="1"/>
  <c r="BK61" i="157" s="1"/>
  <c r="BN61" i="157" s="1"/>
  <c r="BQ61" i="157" s="1"/>
  <c r="BT61" i="157" s="1"/>
  <c r="BW61" i="157" s="1"/>
  <c r="BZ61" i="157" s="1"/>
  <c r="CC61" i="157" s="1"/>
  <c r="CF61" i="157" s="1"/>
  <c r="CI61" i="157" s="1"/>
  <c r="CL61" i="157" s="1"/>
  <c r="CO61" i="157" s="1"/>
  <c r="CR61" i="157" s="1"/>
  <c r="CU61" i="157" s="1"/>
  <c r="CW60" i="157"/>
  <c r="I60" i="157"/>
  <c r="L60" i="157" s="1"/>
  <c r="O60" i="157" s="1"/>
  <c r="R60" i="157" s="1"/>
  <c r="U60" i="157" s="1"/>
  <c r="X60" i="157" s="1"/>
  <c r="AA60" i="157" s="1"/>
  <c r="AD60" i="157" s="1"/>
  <c r="AG60" i="157" s="1"/>
  <c r="AJ60" i="157" s="1"/>
  <c r="AM60" i="157" s="1"/>
  <c r="AP60" i="157" s="1"/>
  <c r="AS60" i="157" s="1"/>
  <c r="AV60" i="157" s="1"/>
  <c r="AY60" i="157" s="1"/>
  <c r="BB60" i="157" s="1"/>
  <c r="BE60" i="157" s="1"/>
  <c r="BH60" i="157" s="1"/>
  <c r="BK60" i="157" s="1"/>
  <c r="BN60" i="157" s="1"/>
  <c r="BQ60" i="157" s="1"/>
  <c r="BT60" i="157" s="1"/>
  <c r="BW60" i="157" s="1"/>
  <c r="BZ60" i="157" s="1"/>
  <c r="CC60" i="157" s="1"/>
  <c r="CF60" i="157" s="1"/>
  <c r="CI60" i="157" s="1"/>
  <c r="CL60" i="157" s="1"/>
  <c r="CO60" i="157" s="1"/>
  <c r="CR60" i="157" s="1"/>
  <c r="CU60" i="157" s="1"/>
  <c r="CV60" i="157"/>
  <c r="CW59" i="157"/>
  <c r="CV59" i="157"/>
  <c r="I59" i="157"/>
  <c r="L59" i="157" s="1"/>
  <c r="O59" i="157" s="1"/>
  <c r="R59" i="157" s="1"/>
  <c r="U59" i="157" s="1"/>
  <c r="X59" i="157" s="1"/>
  <c r="AA59" i="157" s="1"/>
  <c r="AD59" i="157" s="1"/>
  <c r="AG59" i="157" s="1"/>
  <c r="AJ59" i="157" s="1"/>
  <c r="AM59" i="157" s="1"/>
  <c r="AP59" i="157" s="1"/>
  <c r="AS59" i="157" s="1"/>
  <c r="AV59" i="157" s="1"/>
  <c r="AY59" i="157" s="1"/>
  <c r="BB59" i="157" s="1"/>
  <c r="BE59" i="157" s="1"/>
  <c r="BH59" i="157" s="1"/>
  <c r="BK59" i="157" s="1"/>
  <c r="BN59" i="157" s="1"/>
  <c r="BQ59" i="157" s="1"/>
  <c r="BT59" i="157" s="1"/>
  <c r="BW59" i="157" s="1"/>
  <c r="BZ59" i="157" s="1"/>
  <c r="CC59" i="157" s="1"/>
  <c r="CF59" i="157" s="1"/>
  <c r="CI59" i="157" s="1"/>
  <c r="CL59" i="157" s="1"/>
  <c r="CO59" i="157" s="1"/>
  <c r="CR59" i="157" s="1"/>
  <c r="CU59" i="157" s="1"/>
  <c r="CV58" i="157"/>
  <c r="I58" i="157"/>
  <c r="L58" i="157" s="1"/>
  <c r="O58" i="157" s="1"/>
  <c r="R58" i="157" s="1"/>
  <c r="U58" i="157" s="1"/>
  <c r="X58" i="157" s="1"/>
  <c r="AA58" i="157" s="1"/>
  <c r="AD58" i="157" s="1"/>
  <c r="AG58" i="157" s="1"/>
  <c r="AJ58" i="157" s="1"/>
  <c r="AM58" i="157" s="1"/>
  <c r="AP58" i="157" s="1"/>
  <c r="AS58" i="157" s="1"/>
  <c r="AV58" i="157" s="1"/>
  <c r="AY58" i="157" s="1"/>
  <c r="BB58" i="157" s="1"/>
  <c r="BE58" i="157" s="1"/>
  <c r="BH58" i="157" s="1"/>
  <c r="BK58" i="157" s="1"/>
  <c r="BN58" i="157" s="1"/>
  <c r="BQ58" i="157" s="1"/>
  <c r="BT58" i="157" s="1"/>
  <c r="BW58" i="157" s="1"/>
  <c r="BZ58" i="157" s="1"/>
  <c r="CC58" i="157" s="1"/>
  <c r="CF58" i="157" s="1"/>
  <c r="CI58" i="157" s="1"/>
  <c r="CL58" i="157" s="1"/>
  <c r="CO58" i="157" s="1"/>
  <c r="CR58" i="157" s="1"/>
  <c r="CU58" i="157" s="1"/>
  <c r="CW57" i="157"/>
  <c r="CV57" i="157"/>
  <c r="I57" i="157"/>
  <c r="L57" i="157" s="1"/>
  <c r="O57" i="157" s="1"/>
  <c r="R57" i="157" s="1"/>
  <c r="U57" i="157" s="1"/>
  <c r="X57" i="157" s="1"/>
  <c r="AA57" i="157" s="1"/>
  <c r="AD57" i="157" s="1"/>
  <c r="AG57" i="157" s="1"/>
  <c r="AJ57" i="157" s="1"/>
  <c r="AM57" i="157" s="1"/>
  <c r="AP57" i="157" s="1"/>
  <c r="AS57" i="157" s="1"/>
  <c r="AV57" i="157" s="1"/>
  <c r="AY57" i="157" s="1"/>
  <c r="BB57" i="157" s="1"/>
  <c r="BE57" i="157" s="1"/>
  <c r="BH57" i="157" s="1"/>
  <c r="BK57" i="157" s="1"/>
  <c r="BN57" i="157" s="1"/>
  <c r="BQ57" i="157" s="1"/>
  <c r="BT57" i="157" s="1"/>
  <c r="BW57" i="157" s="1"/>
  <c r="BZ57" i="157" s="1"/>
  <c r="CC57" i="157" s="1"/>
  <c r="CF57" i="157" s="1"/>
  <c r="CI57" i="157" s="1"/>
  <c r="CL57" i="157" s="1"/>
  <c r="CO57" i="157" s="1"/>
  <c r="CR57" i="157" s="1"/>
  <c r="CU57" i="157" s="1"/>
  <c r="CW56" i="157"/>
  <c r="CV56" i="157"/>
  <c r="I56" i="157"/>
  <c r="L56" i="157" s="1"/>
  <c r="O56" i="157" s="1"/>
  <c r="R56" i="157" s="1"/>
  <c r="U56" i="157" s="1"/>
  <c r="X56" i="157" s="1"/>
  <c r="AA56" i="157" s="1"/>
  <c r="AD56" i="157" s="1"/>
  <c r="AG56" i="157" s="1"/>
  <c r="AJ56" i="157" s="1"/>
  <c r="AM56" i="157" s="1"/>
  <c r="AP56" i="157" s="1"/>
  <c r="AS56" i="157" s="1"/>
  <c r="AV56" i="157" s="1"/>
  <c r="AY56" i="157" s="1"/>
  <c r="BB56" i="157" s="1"/>
  <c r="BE56" i="157" s="1"/>
  <c r="BH56" i="157" s="1"/>
  <c r="BK56" i="157" s="1"/>
  <c r="BN56" i="157" s="1"/>
  <c r="BQ56" i="157" s="1"/>
  <c r="BT56" i="157" s="1"/>
  <c r="BW56" i="157" s="1"/>
  <c r="BZ56" i="157" s="1"/>
  <c r="CC56" i="157" s="1"/>
  <c r="CF56" i="157" s="1"/>
  <c r="CI56" i="157" s="1"/>
  <c r="CL56" i="157" s="1"/>
  <c r="CO56" i="157" s="1"/>
  <c r="CR56" i="157" s="1"/>
  <c r="CU56" i="157" s="1"/>
  <c r="CW55" i="157"/>
  <c r="CV55" i="157"/>
  <c r="I55" i="157"/>
  <c r="L55" i="157" s="1"/>
  <c r="O55" i="157" s="1"/>
  <c r="R55" i="157" s="1"/>
  <c r="U55" i="157" s="1"/>
  <c r="X55" i="157" s="1"/>
  <c r="AA55" i="157" s="1"/>
  <c r="AD55" i="157" s="1"/>
  <c r="AG55" i="157" s="1"/>
  <c r="AJ55" i="157" s="1"/>
  <c r="AM55" i="157" s="1"/>
  <c r="AP55" i="157" s="1"/>
  <c r="AS55" i="157" s="1"/>
  <c r="AV55" i="157" s="1"/>
  <c r="AY55" i="157" s="1"/>
  <c r="BB55" i="157" s="1"/>
  <c r="BE55" i="157" s="1"/>
  <c r="BH55" i="157" s="1"/>
  <c r="BK55" i="157" s="1"/>
  <c r="BN55" i="157" s="1"/>
  <c r="BQ55" i="157" s="1"/>
  <c r="BT55" i="157" s="1"/>
  <c r="BW55" i="157" s="1"/>
  <c r="BZ55" i="157" s="1"/>
  <c r="CC55" i="157" s="1"/>
  <c r="CF55" i="157" s="1"/>
  <c r="CI55" i="157" s="1"/>
  <c r="CL55" i="157" s="1"/>
  <c r="CO55" i="157" s="1"/>
  <c r="CR55" i="157" s="1"/>
  <c r="CU55" i="157" s="1"/>
  <c r="CW54" i="157"/>
  <c r="CV54" i="157"/>
  <c r="I54" i="157"/>
  <c r="L54" i="157" s="1"/>
  <c r="O54" i="157" s="1"/>
  <c r="R54" i="157" s="1"/>
  <c r="U54" i="157" s="1"/>
  <c r="X54" i="157" s="1"/>
  <c r="AA54" i="157" s="1"/>
  <c r="AD54" i="157" s="1"/>
  <c r="AG54" i="157" s="1"/>
  <c r="AJ54" i="157" s="1"/>
  <c r="AM54" i="157" s="1"/>
  <c r="AP54" i="157" s="1"/>
  <c r="AS54" i="157" s="1"/>
  <c r="AV54" i="157" s="1"/>
  <c r="AY54" i="157" s="1"/>
  <c r="BB54" i="157" s="1"/>
  <c r="BE54" i="157" s="1"/>
  <c r="BH54" i="157" s="1"/>
  <c r="BK54" i="157" s="1"/>
  <c r="BN54" i="157" s="1"/>
  <c r="BQ54" i="157" s="1"/>
  <c r="BT54" i="157" s="1"/>
  <c r="BW54" i="157" s="1"/>
  <c r="BZ54" i="157" s="1"/>
  <c r="CC54" i="157" s="1"/>
  <c r="CF54" i="157" s="1"/>
  <c r="CI54" i="157" s="1"/>
  <c r="CL54" i="157" s="1"/>
  <c r="CO54" i="157" s="1"/>
  <c r="CR54" i="157" s="1"/>
  <c r="CU54" i="157" s="1"/>
  <c r="CV53" i="157"/>
  <c r="I53" i="157"/>
  <c r="L53" i="157" s="1"/>
  <c r="O53" i="157" s="1"/>
  <c r="R53" i="157" s="1"/>
  <c r="U53" i="157" s="1"/>
  <c r="X53" i="157" s="1"/>
  <c r="AA53" i="157" s="1"/>
  <c r="AD53" i="157" s="1"/>
  <c r="AG53" i="157" s="1"/>
  <c r="AJ53" i="157" s="1"/>
  <c r="AM53" i="157" s="1"/>
  <c r="AP53" i="157" s="1"/>
  <c r="AS53" i="157" s="1"/>
  <c r="AV53" i="157" s="1"/>
  <c r="AY53" i="157" s="1"/>
  <c r="BB53" i="157" s="1"/>
  <c r="BE53" i="157" s="1"/>
  <c r="BH53" i="157" s="1"/>
  <c r="BK53" i="157" s="1"/>
  <c r="BN53" i="157" s="1"/>
  <c r="BQ53" i="157" s="1"/>
  <c r="BT53" i="157" s="1"/>
  <c r="BW53" i="157" s="1"/>
  <c r="BZ53" i="157" s="1"/>
  <c r="CC53" i="157" s="1"/>
  <c r="CF53" i="157" s="1"/>
  <c r="CI53" i="157" s="1"/>
  <c r="CL53" i="157" s="1"/>
  <c r="CO53" i="157" s="1"/>
  <c r="CR53" i="157" s="1"/>
  <c r="CU53" i="157" s="1"/>
  <c r="CW52" i="157"/>
  <c r="CV52" i="157"/>
  <c r="I52" i="157"/>
  <c r="L52" i="157" s="1"/>
  <c r="O52" i="157" s="1"/>
  <c r="R52" i="157" s="1"/>
  <c r="U52" i="157" s="1"/>
  <c r="X52" i="157" s="1"/>
  <c r="AA52" i="157" s="1"/>
  <c r="AD52" i="157" s="1"/>
  <c r="AG52" i="157" s="1"/>
  <c r="AJ52" i="157" s="1"/>
  <c r="AM52" i="157" s="1"/>
  <c r="AP52" i="157" s="1"/>
  <c r="AS52" i="157" s="1"/>
  <c r="AV52" i="157" s="1"/>
  <c r="AY52" i="157" s="1"/>
  <c r="BB52" i="157" s="1"/>
  <c r="BE52" i="157" s="1"/>
  <c r="BH52" i="157" s="1"/>
  <c r="BK52" i="157" s="1"/>
  <c r="BN52" i="157" s="1"/>
  <c r="BQ52" i="157" s="1"/>
  <c r="BT52" i="157" s="1"/>
  <c r="BW52" i="157" s="1"/>
  <c r="BZ52" i="157" s="1"/>
  <c r="CC52" i="157" s="1"/>
  <c r="CF52" i="157" s="1"/>
  <c r="CI52" i="157" s="1"/>
  <c r="CL52" i="157" s="1"/>
  <c r="CO52" i="157" s="1"/>
  <c r="CR52" i="157" s="1"/>
  <c r="CU52" i="157" s="1"/>
  <c r="CW51" i="157"/>
  <c r="CV51" i="157"/>
  <c r="I51" i="157"/>
  <c r="L51" i="157" s="1"/>
  <c r="O51" i="157" s="1"/>
  <c r="R51" i="157" s="1"/>
  <c r="U51" i="157" s="1"/>
  <c r="X51" i="157" s="1"/>
  <c r="AA51" i="157" s="1"/>
  <c r="AD51" i="157" s="1"/>
  <c r="AG51" i="157" s="1"/>
  <c r="AJ51" i="157" s="1"/>
  <c r="AM51" i="157" s="1"/>
  <c r="AP51" i="157" s="1"/>
  <c r="AS51" i="157" s="1"/>
  <c r="AV51" i="157" s="1"/>
  <c r="AY51" i="157" s="1"/>
  <c r="BB51" i="157" s="1"/>
  <c r="BE51" i="157" s="1"/>
  <c r="BH51" i="157" s="1"/>
  <c r="BK51" i="157" s="1"/>
  <c r="BN51" i="157" s="1"/>
  <c r="BQ51" i="157" s="1"/>
  <c r="BT51" i="157" s="1"/>
  <c r="BW51" i="157" s="1"/>
  <c r="BZ51" i="157" s="1"/>
  <c r="CC51" i="157" s="1"/>
  <c r="CF51" i="157" s="1"/>
  <c r="CI51" i="157" s="1"/>
  <c r="CL51" i="157" s="1"/>
  <c r="CO51" i="157" s="1"/>
  <c r="CR51" i="157" s="1"/>
  <c r="CU51" i="157" s="1"/>
  <c r="CW50" i="157"/>
  <c r="CV50" i="157"/>
  <c r="I50" i="157"/>
  <c r="L50" i="157" s="1"/>
  <c r="O50" i="157" s="1"/>
  <c r="R50" i="157" s="1"/>
  <c r="U50" i="157" s="1"/>
  <c r="X50" i="157" s="1"/>
  <c r="AA50" i="157" s="1"/>
  <c r="AD50" i="157" s="1"/>
  <c r="AG50" i="157" s="1"/>
  <c r="AJ50" i="157" s="1"/>
  <c r="AM50" i="157" s="1"/>
  <c r="AP50" i="157" s="1"/>
  <c r="AS50" i="157" s="1"/>
  <c r="AV50" i="157" s="1"/>
  <c r="AY50" i="157" s="1"/>
  <c r="BB50" i="157" s="1"/>
  <c r="BE50" i="157" s="1"/>
  <c r="BH50" i="157" s="1"/>
  <c r="BK50" i="157" s="1"/>
  <c r="BN50" i="157" s="1"/>
  <c r="BQ50" i="157" s="1"/>
  <c r="BT50" i="157" s="1"/>
  <c r="BW50" i="157" s="1"/>
  <c r="BZ50" i="157" s="1"/>
  <c r="CC50" i="157" s="1"/>
  <c r="CF50" i="157" s="1"/>
  <c r="CI50" i="157" s="1"/>
  <c r="CL50" i="157" s="1"/>
  <c r="CO50" i="157" s="1"/>
  <c r="CR50" i="157" s="1"/>
  <c r="CU50" i="157" s="1"/>
  <c r="CW49" i="157"/>
  <c r="CV49" i="157"/>
  <c r="I49" i="157"/>
  <c r="L49" i="157" s="1"/>
  <c r="O49" i="157" s="1"/>
  <c r="R49" i="157" s="1"/>
  <c r="U49" i="157" s="1"/>
  <c r="X49" i="157" s="1"/>
  <c r="AA49" i="157" s="1"/>
  <c r="AD49" i="157" s="1"/>
  <c r="AG49" i="157" s="1"/>
  <c r="AJ49" i="157" s="1"/>
  <c r="AM49" i="157" s="1"/>
  <c r="AP49" i="157" s="1"/>
  <c r="AS49" i="157" s="1"/>
  <c r="AV49" i="157" s="1"/>
  <c r="AY49" i="157" s="1"/>
  <c r="BB49" i="157" s="1"/>
  <c r="BE49" i="157" s="1"/>
  <c r="BH49" i="157" s="1"/>
  <c r="BK49" i="157" s="1"/>
  <c r="BN49" i="157" s="1"/>
  <c r="BQ49" i="157" s="1"/>
  <c r="BT49" i="157" s="1"/>
  <c r="BW49" i="157" s="1"/>
  <c r="BZ49" i="157" s="1"/>
  <c r="CC49" i="157" s="1"/>
  <c r="CF49" i="157" s="1"/>
  <c r="CI49" i="157" s="1"/>
  <c r="CL49" i="157" s="1"/>
  <c r="CO49" i="157" s="1"/>
  <c r="CR49" i="157" s="1"/>
  <c r="CU49" i="157" s="1"/>
  <c r="CV48" i="157"/>
  <c r="I48" i="157"/>
  <c r="L48" i="157" s="1"/>
  <c r="CV47" i="157"/>
  <c r="CW47" i="157"/>
  <c r="CW46" i="157"/>
  <c r="CV46" i="157"/>
  <c r="I46" i="157"/>
  <c r="L46" i="157" s="1"/>
  <c r="O46" i="157" s="1"/>
  <c r="R46" i="157" s="1"/>
  <c r="U46" i="157" s="1"/>
  <c r="X46" i="157" s="1"/>
  <c r="AA46" i="157" s="1"/>
  <c r="AD46" i="157" s="1"/>
  <c r="AG46" i="157" s="1"/>
  <c r="AJ46" i="157" s="1"/>
  <c r="AM46" i="157" s="1"/>
  <c r="AP46" i="157" s="1"/>
  <c r="AS46" i="157" s="1"/>
  <c r="AV46" i="157" s="1"/>
  <c r="AY46" i="157" s="1"/>
  <c r="BB46" i="157" s="1"/>
  <c r="BE46" i="157" s="1"/>
  <c r="BH46" i="157" s="1"/>
  <c r="BK46" i="157" s="1"/>
  <c r="BN46" i="157" s="1"/>
  <c r="BQ46" i="157" s="1"/>
  <c r="BT46" i="157" s="1"/>
  <c r="BW46" i="157" s="1"/>
  <c r="BZ46" i="157" s="1"/>
  <c r="CC46" i="157" s="1"/>
  <c r="CF46" i="157" s="1"/>
  <c r="CI46" i="157" s="1"/>
  <c r="CL46" i="157" s="1"/>
  <c r="CO46" i="157" s="1"/>
  <c r="CR46" i="157" s="1"/>
  <c r="CU46" i="157" s="1"/>
  <c r="CW45" i="157"/>
  <c r="CV45" i="157"/>
  <c r="I45" i="157"/>
  <c r="L45" i="157" s="1"/>
  <c r="O45" i="157" s="1"/>
  <c r="R45" i="157" s="1"/>
  <c r="U45" i="157" s="1"/>
  <c r="X45" i="157" s="1"/>
  <c r="AA45" i="157" s="1"/>
  <c r="AD45" i="157" s="1"/>
  <c r="AG45" i="157" s="1"/>
  <c r="AJ45" i="157" s="1"/>
  <c r="AM45" i="157" s="1"/>
  <c r="AP45" i="157" s="1"/>
  <c r="AS45" i="157" s="1"/>
  <c r="AV45" i="157" s="1"/>
  <c r="AY45" i="157" s="1"/>
  <c r="BB45" i="157" s="1"/>
  <c r="BE45" i="157" s="1"/>
  <c r="BH45" i="157" s="1"/>
  <c r="BK45" i="157" s="1"/>
  <c r="BN45" i="157" s="1"/>
  <c r="BQ45" i="157" s="1"/>
  <c r="BT45" i="157" s="1"/>
  <c r="BW45" i="157" s="1"/>
  <c r="BZ45" i="157" s="1"/>
  <c r="CC45" i="157" s="1"/>
  <c r="CF45" i="157" s="1"/>
  <c r="CI45" i="157" s="1"/>
  <c r="CL45" i="157" s="1"/>
  <c r="CO45" i="157" s="1"/>
  <c r="CR45" i="157" s="1"/>
  <c r="CU45" i="157" s="1"/>
  <c r="CW44" i="157"/>
  <c r="CV44" i="157"/>
  <c r="I44" i="157"/>
  <c r="L44" i="157" s="1"/>
  <c r="O44" i="157" s="1"/>
  <c r="R44" i="157" s="1"/>
  <c r="U44" i="157" s="1"/>
  <c r="X44" i="157" s="1"/>
  <c r="AA44" i="157" s="1"/>
  <c r="AD44" i="157" s="1"/>
  <c r="AG44" i="157" s="1"/>
  <c r="AJ44" i="157" s="1"/>
  <c r="AM44" i="157" s="1"/>
  <c r="AP44" i="157" s="1"/>
  <c r="AS44" i="157" s="1"/>
  <c r="AV44" i="157" s="1"/>
  <c r="AY44" i="157" s="1"/>
  <c r="BB44" i="157" s="1"/>
  <c r="BE44" i="157" s="1"/>
  <c r="BH44" i="157" s="1"/>
  <c r="BK44" i="157" s="1"/>
  <c r="BN44" i="157" s="1"/>
  <c r="BQ44" i="157" s="1"/>
  <c r="BT44" i="157" s="1"/>
  <c r="BW44" i="157" s="1"/>
  <c r="BZ44" i="157" s="1"/>
  <c r="CC44" i="157" s="1"/>
  <c r="CF44" i="157" s="1"/>
  <c r="CI44" i="157" s="1"/>
  <c r="CL44" i="157" s="1"/>
  <c r="CO44" i="157" s="1"/>
  <c r="CR44" i="157" s="1"/>
  <c r="CU44" i="157" s="1"/>
  <c r="CW42" i="157"/>
  <c r="CV42" i="157"/>
  <c r="I42" i="157"/>
  <c r="L42" i="157" s="1"/>
  <c r="O42" i="157" s="1"/>
  <c r="R42" i="157" s="1"/>
  <c r="U42" i="157" s="1"/>
  <c r="X42" i="157" s="1"/>
  <c r="AA42" i="157" s="1"/>
  <c r="AD42" i="157" s="1"/>
  <c r="AG42" i="157" s="1"/>
  <c r="AJ42" i="157" s="1"/>
  <c r="AM42" i="157" s="1"/>
  <c r="AP42" i="157" s="1"/>
  <c r="AS42" i="157" s="1"/>
  <c r="AV42" i="157" s="1"/>
  <c r="AY42" i="157" s="1"/>
  <c r="BB42" i="157" s="1"/>
  <c r="BE42" i="157" s="1"/>
  <c r="BH42" i="157" s="1"/>
  <c r="BK42" i="157" s="1"/>
  <c r="BN42" i="157" s="1"/>
  <c r="BQ42" i="157" s="1"/>
  <c r="BT42" i="157" s="1"/>
  <c r="BW42" i="157" s="1"/>
  <c r="BZ42" i="157" s="1"/>
  <c r="CC42" i="157" s="1"/>
  <c r="CF42" i="157" s="1"/>
  <c r="CI42" i="157" s="1"/>
  <c r="CL42" i="157" s="1"/>
  <c r="CO42" i="157" s="1"/>
  <c r="CR42" i="157" s="1"/>
  <c r="CU42" i="157" s="1"/>
  <c r="CW41" i="157"/>
  <c r="CV41" i="157"/>
  <c r="I41" i="157"/>
  <c r="L41" i="157" s="1"/>
  <c r="O41" i="157" s="1"/>
  <c r="R41" i="157" s="1"/>
  <c r="U41" i="157" s="1"/>
  <c r="X41" i="157" s="1"/>
  <c r="AA41" i="157" s="1"/>
  <c r="AD41" i="157" s="1"/>
  <c r="AG41" i="157" s="1"/>
  <c r="AJ41" i="157" s="1"/>
  <c r="AM41" i="157" s="1"/>
  <c r="AP41" i="157" s="1"/>
  <c r="AS41" i="157" s="1"/>
  <c r="AV41" i="157" s="1"/>
  <c r="AY41" i="157" s="1"/>
  <c r="BB41" i="157" s="1"/>
  <c r="BE41" i="157" s="1"/>
  <c r="BH41" i="157" s="1"/>
  <c r="BK41" i="157" s="1"/>
  <c r="BN41" i="157" s="1"/>
  <c r="BQ41" i="157" s="1"/>
  <c r="BT41" i="157" s="1"/>
  <c r="BW41" i="157" s="1"/>
  <c r="BZ41" i="157" s="1"/>
  <c r="CC41" i="157" s="1"/>
  <c r="CF41" i="157" s="1"/>
  <c r="CI41" i="157" s="1"/>
  <c r="CL41" i="157" s="1"/>
  <c r="CO41" i="157" s="1"/>
  <c r="CR41" i="157" s="1"/>
  <c r="CU41" i="157" s="1"/>
  <c r="CV40" i="157"/>
  <c r="I40" i="157"/>
  <c r="CV39" i="157"/>
  <c r="CW39" i="157"/>
  <c r="I39" i="157"/>
  <c r="L39" i="157" s="1"/>
  <c r="O39" i="157" s="1"/>
  <c r="R39" i="157" s="1"/>
  <c r="U39" i="157" s="1"/>
  <c r="X39" i="157" s="1"/>
  <c r="AA39" i="157" s="1"/>
  <c r="AD39" i="157" s="1"/>
  <c r="AG39" i="157" s="1"/>
  <c r="AJ39" i="157" s="1"/>
  <c r="AM39" i="157" s="1"/>
  <c r="AP39" i="157" s="1"/>
  <c r="AS39" i="157" s="1"/>
  <c r="AV39" i="157" s="1"/>
  <c r="AY39" i="157" s="1"/>
  <c r="BB39" i="157" s="1"/>
  <c r="BE39" i="157" s="1"/>
  <c r="BH39" i="157" s="1"/>
  <c r="BK39" i="157" s="1"/>
  <c r="BN39" i="157" s="1"/>
  <c r="BQ39" i="157" s="1"/>
  <c r="BT39" i="157" s="1"/>
  <c r="BW39" i="157" s="1"/>
  <c r="BZ39" i="157" s="1"/>
  <c r="CC39" i="157" s="1"/>
  <c r="CF39" i="157" s="1"/>
  <c r="CI39" i="157" s="1"/>
  <c r="CL39" i="157" s="1"/>
  <c r="CO39" i="157" s="1"/>
  <c r="CR39" i="157" s="1"/>
  <c r="CU39" i="157" s="1"/>
  <c r="CW38" i="157"/>
  <c r="CV38" i="157"/>
  <c r="I38" i="157"/>
  <c r="L38" i="157" s="1"/>
  <c r="O38" i="157" s="1"/>
  <c r="R38" i="157" s="1"/>
  <c r="U38" i="157" s="1"/>
  <c r="X38" i="157" s="1"/>
  <c r="AA38" i="157" s="1"/>
  <c r="AD38" i="157" s="1"/>
  <c r="AG38" i="157" s="1"/>
  <c r="AJ38" i="157" s="1"/>
  <c r="AM38" i="157" s="1"/>
  <c r="AP38" i="157" s="1"/>
  <c r="AS38" i="157" s="1"/>
  <c r="AV38" i="157" s="1"/>
  <c r="AY38" i="157" s="1"/>
  <c r="BB38" i="157" s="1"/>
  <c r="BE38" i="157" s="1"/>
  <c r="BH38" i="157" s="1"/>
  <c r="BK38" i="157" s="1"/>
  <c r="BN38" i="157" s="1"/>
  <c r="BQ38" i="157" s="1"/>
  <c r="BT38" i="157" s="1"/>
  <c r="BW38" i="157" s="1"/>
  <c r="BZ38" i="157" s="1"/>
  <c r="CC38" i="157" s="1"/>
  <c r="CF38" i="157" s="1"/>
  <c r="CI38" i="157" s="1"/>
  <c r="CL38" i="157" s="1"/>
  <c r="CO38" i="157" s="1"/>
  <c r="CR38" i="157" s="1"/>
  <c r="CU38" i="157" s="1"/>
  <c r="CW37" i="157"/>
  <c r="CV37" i="157"/>
  <c r="I37" i="157"/>
  <c r="L37" i="157" s="1"/>
  <c r="O37" i="157" s="1"/>
  <c r="R37" i="157" s="1"/>
  <c r="U37" i="157" s="1"/>
  <c r="X37" i="157" s="1"/>
  <c r="AA37" i="157" s="1"/>
  <c r="AD37" i="157" s="1"/>
  <c r="AG37" i="157" s="1"/>
  <c r="AJ37" i="157" s="1"/>
  <c r="AM37" i="157" s="1"/>
  <c r="AP37" i="157" s="1"/>
  <c r="AS37" i="157" s="1"/>
  <c r="AV37" i="157" s="1"/>
  <c r="AY37" i="157" s="1"/>
  <c r="BB37" i="157" s="1"/>
  <c r="BE37" i="157" s="1"/>
  <c r="BH37" i="157" s="1"/>
  <c r="BK37" i="157" s="1"/>
  <c r="BN37" i="157" s="1"/>
  <c r="BQ37" i="157" s="1"/>
  <c r="BT37" i="157" s="1"/>
  <c r="BW37" i="157" s="1"/>
  <c r="BZ37" i="157" s="1"/>
  <c r="CC37" i="157" s="1"/>
  <c r="CF37" i="157" s="1"/>
  <c r="CI37" i="157" s="1"/>
  <c r="CL37" i="157" s="1"/>
  <c r="CO37" i="157" s="1"/>
  <c r="CR37" i="157" s="1"/>
  <c r="CU37" i="157" s="1"/>
  <c r="I36" i="157"/>
  <c r="L36" i="157" s="1"/>
  <c r="O36" i="157" s="1"/>
  <c r="R36" i="157" s="1"/>
  <c r="U36" i="157" s="1"/>
  <c r="X36" i="157" s="1"/>
  <c r="AA36" i="157" s="1"/>
  <c r="AD36" i="157" s="1"/>
  <c r="AG36" i="157" s="1"/>
  <c r="AJ36" i="157" s="1"/>
  <c r="AM36" i="157" s="1"/>
  <c r="AP36" i="157" s="1"/>
  <c r="AS36" i="157" s="1"/>
  <c r="AV36" i="157" s="1"/>
  <c r="AY36" i="157" s="1"/>
  <c r="BB36" i="157" s="1"/>
  <c r="BE36" i="157" s="1"/>
  <c r="BH36" i="157" s="1"/>
  <c r="BK36" i="157" s="1"/>
  <c r="BN36" i="157" s="1"/>
  <c r="BQ36" i="157" s="1"/>
  <c r="BT36" i="157" s="1"/>
  <c r="BW36" i="157" s="1"/>
  <c r="BZ36" i="157" s="1"/>
  <c r="CC36" i="157" s="1"/>
  <c r="CF36" i="157" s="1"/>
  <c r="CI36" i="157" s="1"/>
  <c r="CL36" i="157" s="1"/>
  <c r="CO36" i="157" s="1"/>
  <c r="CR36" i="157" s="1"/>
  <c r="CU36" i="157" s="1"/>
  <c r="CW35" i="157"/>
  <c r="CV35" i="157"/>
  <c r="I35" i="157"/>
  <c r="L35" i="157" s="1"/>
  <c r="O35" i="157" s="1"/>
  <c r="R35" i="157" s="1"/>
  <c r="U35" i="157" s="1"/>
  <c r="X35" i="157" s="1"/>
  <c r="AA35" i="157" s="1"/>
  <c r="AD35" i="157" s="1"/>
  <c r="AG35" i="157" s="1"/>
  <c r="AJ35" i="157" s="1"/>
  <c r="AM35" i="157" s="1"/>
  <c r="AP35" i="157" s="1"/>
  <c r="AS35" i="157" s="1"/>
  <c r="AV35" i="157" s="1"/>
  <c r="AY35" i="157" s="1"/>
  <c r="BB35" i="157" s="1"/>
  <c r="BE35" i="157" s="1"/>
  <c r="BH35" i="157" s="1"/>
  <c r="BK35" i="157" s="1"/>
  <c r="BN35" i="157" s="1"/>
  <c r="BQ35" i="157" s="1"/>
  <c r="BT35" i="157" s="1"/>
  <c r="BW35" i="157" s="1"/>
  <c r="BZ35" i="157" s="1"/>
  <c r="CC35" i="157" s="1"/>
  <c r="CF35" i="157" s="1"/>
  <c r="CI35" i="157" s="1"/>
  <c r="CL35" i="157" s="1"/>
  <c r="CO35" i="157" s="1"/>
  <c r="CR35" i="157" s="1"/>
  <c r="CU35" i="157" s="1"/>
  <c r="CW34" i="157"/>
  <c r="CV34" i="157"/>
  <c r="I34" i="157"/>
  <c r="L34" i="157" s="1"/>
  <c r="O34" i="157" s="1"/>
  <c r="R34" i="157" s="1"/>
  <c r="U34" i="157" s="1"/>
  <c r="X34" i="157" s="1"/>
  <c r="AA34" i="157" s="1"/>
  <c r="AD34" i="157" s="1"/>
  <c r="AG34" i="157" s="1"/>
  <c r="AJ34" i="157" s="1"/>
  <c r="AM34" i="157" s="1"/>
  <c r="AP34" i="157" s="1"/>
  <c r="AS34" i="157" s="1"/>
  <c r="AV34" i="157" s="1"/>
  <c r="AY34" i="157" s="1"/>
  <c r="BB34" i="157" s="1"/>
  <c r="BE34" i="157" s="1"/>
  <c r="BH34" i="157" s="1"/>
  <c r="BK34" i="157" s="1"/>
  <c r="BN34" i="157" s="1"/>
  <c r="BQ34" i="157" s="1"/>
  <c r="BT34" i="157" s="1"/>
  <c r="BW34" i="157" s="1"/>
  <c r="BZ34" i="157" s="1"/>
  <c r="CC34" i="157" s="1"/>
  <c r="CF34" i="157" s="1"/>
  <c r="CI34" i="157" s="1"/>
  <c r="CL34" i="157" s="1"/>
  <c r="CO34" i="157" s="1"/>
  <c r="CR34" i="157" s="1"/>
  <c r="CU34" i="157" s="1"/>
  <c r="CW33" i="157"/>
  <c r="CV33" i="157"/>
  <c r="I33" i="157"/>
  <c r="L33" i="157" s="1"/>
  <c r="O33" i="157" s="1"/>
  <c r="R33" i="157" s="1"/>
  <c r="U33" i="157" s="1"/>
  <c r="X33" i="157" s="1"/>
  <c r="AA33" i="157" s="1"/>
  <c r="AD33" i="157" s="1"/>
  <c r="AG33" i="157" s="1"/>
  <c r="AJ33" i="157" s="1"/>
  <c r="AM33" i="157" s="1"/>
  <c r="AP33" i="157" s="1"/>
  <c r="AS33" i="157" s="1"/>
  <c r="AV33" i="157" s="1"/>
  <c r="AY33" i="157" s="1"/>
  <c r="BB33" i="157" s="1"/>
  <c r="BE33" i="157" s="1"/>
  <c r="BH33" i="157" s="1"/>
  <c r="BK33" i="157" s="1"/>
  <c r="BN33" i="157" s="1"/>
  <c r="BQ33" i="157" s="1"/>
  <c r="BT33" i="157" s="1"/>
  <c r="BW33" i="157" s="1"/>
  <c r="BZ33" i="157" s="1"/>
  <c r="CC33" i="157" s="1"/>
  <c r="CF33" i="157" s="1"/>
  <c r="CI33" i="157" s="1"/>
  <c r="CL33" i="157" s="1"/>
  <c r="CO33" i="157" s="1"/>
  <c r="CR33" i="157" s="1"/>
  <c r="CU33" i="157" s="1"/>
  <c r="CW31" i="157"/>
  <c r="CV31" i="157"/>
  <c r="I31" i="157"/>
  <c r="L31" i="157" s="1"/>
  <c r="O31" i="157" s="1"/>
  <c r="R31" i="157" s="1"/>
  <c r="U31" i="157" s="1"/>
  <c r="X31" i="157" s="1"/>
  <c r="AA31" i="157" s="1"/>
  <c r="AD31" i="157" s="1"/>
  <c r="AG31" i="157" s="1"/>
  <c r="AJ31" i="157" s="1"/>
  <c r="AM31" i="157" s="1"/>
  <c r="AP31" i="157" s="1"/>
  <c r="AS31" i="157" s="1"/>
  <c r="AV31" i="157" s="1"/>
  <c r="AY31" i="157" s="1"/>
  <c r="BB31" i="157" s="1"/>
  <c r="BE31" i="157" s="1"/>
  <c r="BH31" i="157" s="1"/>
  <c r="BK31" i="157" s="1"/>
  <c r="BN31" i="157" s="1"/>
  <c r="BQ31" i="157" s="1"/>
  <c r="BT31" i="157" s="1"/>
  <c r="BW31" i="157" s="1"/>
  <c r="BZ31" i="157" s="1"/>
  <c r="CC31" i="157" s="1"/>
  <c r="CF31" i="157" s="1"/>
  <c r="CI31" i="157" s="1"/>
  <c r="CL31" i="157" s="1"/>
  <c r="CO31" i="157" s="1"/>
  <c r="CR31" i="157" s="1"/>
  <c r="CU31" i="157" s="1"/>
  <c r="CW30" i="157"/>
  <c r="CV30" i="157"/>
  <c r="I30" i="157"/>
  <c r="L30" i="157" s="1"/>
  <c r="O30" i="157" s="1"/>
  <c r="R30" i="157" s="1"/>
  <c r="U30" i="157" s="1"/>
  <c r="X30" i="157" s="1"/>
  <c r="AA30" i="157" s="1"/>
  <c r="AD30" i="157" s="1"/>
  <c r="AG30" i="157" s="1"/>
  <c r="AJ30" i="157" s="1"/>
  <c r="AM30" i="157" s="1"/>
  <c r="AP30" i="157" s="1"/>
  <c r="AS30" i="157" s="1"/>
  <c r="AV30" i="157" s="1"/>
  <c r="AY30" i="157" s="1"/>
  <c r="BB30" i="157" s="1"/>
  <c r="BE30" i="157" s="1"/>
  <c r="BH30" i="157" s="1"/>
  <c r="BK30" i="157" s="1"/>
  <c r="BN30" i="157" s="1"/>
  <c r="BQ30" i="157" s="1"/>
  <c r="BT30" i="157" s="1"/>
  <c r="BW30" i="157" s="1"/>
  <c r="BZ30" i="157" s="1"/>
  <c r="CC30" i="157" s="1"/>
  <c r="CF30" i="157" s="1"/>
  <c r="CI30" i="157" s="1"/>
  <c r="CL30" i="157" s="1"/>
  <c r="CO30" i="157" s="1"/>
  <c r="CR30" i="157" s="1"/>
  <c r="CU30" i="157" s="1"/>
  <c r="CW29" i="157"/>
  <c r="CV28" i="157"/>
  <c r="CW28" i="157"/>
  <c r="I28" i="157"/>
  <c r="L28" i="157" s="1"/>
  <c r="O28" i="157" s="1"/>
  <c r="R28" i="157" s="1"/>
  <c r="U28" i="157" s="1"/>
  <c r="X28" i="157" s="1"/>
  <c r="AA28" i="157" s="1"/>
  <c r="AD28" i="157" s="1"/>
  <c r="AG28" i="157" s="1"/>
  <c r="AJ28" i="157" s="1"/>
  <c r="AM28" i="157" s="1"/>
  <c r="AP28" i="157" s="1"/>
  <c r="AS28" i="157" s="1"/>
  <c r="AV28" i="157" s="1"/>
  <c r="AY28" i="157" s="1"/>
  <c r="BB28" i="157" s="1"/>
  <c r="BE28" i="157" s="1"/>
  <c r="BH28" i="157" s="1"/>
  <c r="BK28" i="157" s="1"/>
  <c r="BN28" i="157" s="1"/>
  <c r="BQ28" i="157" s="1"/>
  <c r="BT28" i="157" s="1"/>
  <c r="BW28" i="157" s="1"/>
  <c r="BZ28" i="157" s="1"/>
  <c r="CC28" i="157" s="1"/>
  <c r="CF28" i="157" s="1"/>
  <c r="CI28" i="157" s="1"/>
  <c r="CL28" i="157" s="1"/>
  <c r="CO28" i="157" s="1"/>
  <c r="CR28" i="157" s="1"/>
  <c r="CU28" i="157" s="1"/>
  <c r="CV27" i="157"/>
  <c r="I27" i="157"/>
  <c r="L27" i="157" s="1"/>
  <c r="O27" i="157" s="1"/>
  <c r="R27" i="157" s="1"/>
  <c r="U27" i="157" s="1"/>
  <c r="X27" i="157" s="1"/>
  <c r="AA27" i="157" s="1"/>
  <c r="AD27" i="157" s="1"/>
  <c r="AG27" i="157" s="1"/>
  <c r="AJ27" i="157" s="1"/>
  <c r="AM27" i="157" s="1"/>
  <c r="AP27" i="157" s="1"/>
  <c r="AS27" i="157" s="1"/>
  <c r="AV27" i="157" s="1"/>
  <c r="AY27" i="157" s="1"/>
  <c r="BB27" i="157" s="1"/>
  <c r="BE27" i="157" s="1"/>
  <c r="BH27" i="157" s="1"/>
  <c r="BK27" i="157" s="1"/>
  <c r="BN27" i="157" s="1"/>
  <c r="BQ27" i="157" s="1"/>
  <c r="BT27" i="157" s="1"/>
  <c r="BW27" i="157" s="1"/>
  <c r="BZ27" i="157" s="1"/>
  <c r="CC27" i="157" s="1"/>
  <c r="CF27" i="157" s="1"/>
  <c r="CI27" i="157" s="1"/>
  <c r="CL27" i="157" s="1"/>
  <c r="CO27" i="157" s="1"/>
  <c r="CR27" i="157" s="1"/>
  <c r="CU27" i="157" s="1"/>
  <c r="CW26" i="157"/>
  <c r="I26" i="157"/>
  <c r="L26" i="157" s="1"/>
  <c r="O26" i="157" s="1"/>
  <c r="R26" i="157" s="1"/>
  <c r="CW25" i="157"/>
  <c r="I25" i="157"/>
  <c r="L25" i="157" s="1"/>
  <c r="CW24" i="157"/>
  <c r="CV24" i="157"/>
  <c r="I24" i="157"/>
  <c r="L24" i="157" s="1"/>
  <c r="O24" i="157" s="1"/>
  <c r="R24" i="157" s="1"/>
  <c r="U24" i="157" s="1"/>
  <c r="X24" i="157" s="1"/>
  <c r="AA24" i="157" s="1"/>
  <c r="AD24" i="157" s="1"/>
  <c r="AG24" i="157" s="1"/>
  <c r="AJ24" i="157" s="1"/>
  <c r="AM24" i="157" s="1"/>
  <c r="AP24" i="157" s="1"/>
  <c r="AS24" i="157" s="1"/>
  <c r="AV24" i="157" s="1"/>
  <c r="AY24" i="157" s="1"/>
  <c r="BB24" i="157" s="1"/>
  <c r="BE24" i="157" s="1"/>
  <c r="BH24" i="157" s="1"/>
  <c r="BK24" i="157" s="1"/>
  <c r="BN24" i="157" s="1"/>
  <c r="BQ24" i="157" s="1"/>
  <c r="BT24" i="157" s="1"/>
  <c r="BW24" i="157" s="1"/>
  <c r="BZ24" i="157" s="1"/>
  <c r="CC24" i="157" s="1"/>
  <c r="CF24" i="157" s="1"/>
  <c r="CI24" i="157" s="1"/>
  <c r="CL24" i="157" s="1"/>
  <c r="CO24" i="157" s="1"/>
  <c r="CR24" i="157" s="1"/>
  <c r="CU24" i="157" s="1"/>
  <c r="CV23" i="157"/>
  <c r="I23" i="157"/>
  <c r="L23" i="157" s="1"/>
  <c r="O23" i="157" s="1"/>
  <c r="R23" i="157" s="1"/>
  <c r="U23" i="157" s="1"/>
  <c r="CV22" i="157"/>
  <c r="I22" i="157"/>
  <c r="CW21" i="157"/>
  <c r="CV21" i="157"/>
  <c r="I21" i="157"/>
  <c r="L21" i="157" s="1"/>
  <c r="O21" i="157" s="1"/>
  <c r="R21" i="157" s="1"/>
  <c r="U21" i="157" s="1"/>
  <c r="X21" i="157" s="1"/>
  <c r="AA21" i="157" s="1"/>
  <c r="AD21" i="157" s="1"/>
  <c r="AG21" i="157" s="1"/>
  <c r="AJ21" i="157" s="1"/>
  <c r="AM21" i="157" s="1"/>
  <c r="AP21" i="157" s="1"/>
  <c r="AS21" i="157" s="1"/>
  <c r="AV21" i="157" s="1"/>
  <c r="AY21" i="157" s="1"/>
  <c r="BB21" i="157" s="1"/>
  <c r="BE21" i="157" s="1"/>
  <c r="BH21" i="157" s="1"/>
  <c r="BK21" i="157" s="1"/>
  <c r="BN21" i="157" s="1"/>
  <c r="BQ21" i="157" s="1"/>
  <c r="BT21" i="157" s="1"/>
  <c r="BW21" i="157" s="1"/>
  <c r="BZ21" i="157" s="1"/>
  <c r="CC21" i="157" s="1"/>
  <c r="CF21" i="157" s="1"/>
  <c r="CI21" i="157" s="1"/>
  <c r="CL21" i="157" s="1"/>
  <c r="CO21" i="157" s="1"/>
  <c r="CR21" i="157" s="1"/>
  <c r="CU21" i="157" s="1"/>
  <c r="CW20" i="157"/>
  <c r="CV20" i="157"/>
  <c r="I20" i="157"/>
  <c r="L20" i="157" s="1"/>
  <c r="O20" i="157" s="1"/>
  <c r="R20" i="157" s="1"/>
  <c r="U20" i="157" s="1"/>
  <c r="X20" i="157" s="1"/>
  <c r="AA20" i="157" s="1"/>
  <c r="AD20" i="157" s="1"/>
  <c r="AG20" i="157" s="1"/>
  <c r="AJ20" i="157" s="1"/>
  <c r="AM20" i="157" s="1"/>
  <c r="AP20" i="157" s="1"/>
  <c r="AS20" i="157" s="1"/>
  <c r="AV20" i="157" s="1"/>
  <c r="AY20" i="157" s="1"/>
  <c r="BB20" i="157" s="1"/>
  <c r="BE20" i="157" s="1"/>
  <c r="BH20" i="157" s="1"/>
  <c r="BK20" i="157" s="1"/>
  <c r="BN20" i="157" s="1"/>
  <c r="BQ20" i="157" s="1"/>
  <c r="BT20" i="157" s="1"/>
  <c r="BW20" i="157" s="1"/>
  <c r="BZ20" i="157" s="1"/>
  <c r="CC20" i="157" s="1"/>
  <c r="CF20" i="157" s="1"/>
  <c r="CI20" i="157" s="1"/>
  <c r="CL20" i="157" s="1"/>
  <c r="CO20" i="157" s="1"/>
  <c r="CR20" i="157" s="1"/>
  <c r="CU20" i="157" s="1"/>
  <c r="CV19" i="157"/>
  <c r="I19" i="157"/>
  <c r="L19" i="157" s="1"/>
  <c r="O19" i="157" s="1"/>
  <c r="R19" i="157" s="1"/>
  <c r="U19" i="157" s="1"/>
  <c r="X19" i="157" s="1"/>
  <c r="AA19" i="157" s="1"/>
  <c r="AD19" i="157" s="1"/>
  <c r="AG19" i="157" s="1"/>
  <c r="AJ19" i="157" s="1"/>
  <c r="AM19" i="157" s="1"/>
  <c r="AP19" i="157" s="1"/>
  <c r="AS19" i="157" s="1"/>
  <c r="AV19" i="157" s="1"/>
  <c r="AY19" i="157" s="1"/>
  <c r="BB19" i="157" s="1"/>
  <c r="BE19" i="157" s="1"/>
  <c r="BH19" i="157" s="1"/>
  <c r="BK19" i="157" s="1"/>
  <c r="BN19" i="157" s="1"/>
  <c r="BQ19" i="157" s="1"/>
  <c r="BT19" i="157" s="1"/>
  <c r="BW19" i="157" s="1"/>
  <c r="BZ19" i="157" s="1"/>
  <c r="CC19" i="157" s="1"/>
  <c r="CF19" i="157" s="1"/>
  <c r="CI19" i="157" s="1"/>
  <c r="CL19" i="157" s="1"/>
  <c r="CO19" i="157" s="1"/>
  <c r="CR19" i="157" s="1"/>
  <c r="CU19" i="157" s="1"/>
  <c r="CV18" i="157"/>
  <c r="I18" i="157"/>
  <c r="L18" i="157" s="1"/>
  <c r="O18" i="157" s="1"/>
  <c r="R18" i="157" s="1"/>
  <c r="U18" i="157" s="1"/>
  <c r="X18" i="157" s="1"/>
  <c r="AA18" i="157" s="1"/>
  <c r="AD18" i="157" s="1"/>
  <c r="AG18" i="157" s="1"/>
  <c r="AJ18" i="157" s="1"/>
  <c r="AM18" i="157" s="1"/>
  <c r="AP18" i="157" s="1"/>
  <c r="AS18" i="157" s="1"/>
  <c r="AV18" i="157" s="1"/>
  <c r="AY18" i="157" s="1"/>
  <c r="BB18" i="157" s="1"/>
  <c r="BE18" i="157" s="1"/>
  <c r="BH18" i="157" s="1"/>
  <c r="BK18" i="157" s="1"/>
  <c r="BN18" i="157" s="1"/>
  <c r="BQ18" i="157" s="1"/>
  <c r="BT18" i="157" s="1"/>
  <c r="BW18" i="157" s="1"/>
  <c r="BZ18" i="157" s="1"/>
  <c r="CC18" i="157" s="1"/>
  <c r="CF18" i="157" s="1"/>
  <c r="CI18" i="157" s="1"/>
  <c r="CL18" i="157" s="1"/>
  <c r="CO18" i="157" s="1"/>
  <c r="CR18" i="157" s="1"/>
  <c r="CU18" i="157" s="1"/>
  <c r="I17" i="157"/>
  <c r="L17" i="157" s="1"/>
  <c r="O17" i="157" s="1"/>
  <c r="R17" i="157" s="1"/>
  <c r="U17" i="157" s="1"/>
  <c r="X17" i="157" s="1"/>
  <c r="AA17" i="157" s="1"/>
  <c r="AD17" i="157" s="1"/>
  <c r="AG17" i="157" s="1"/>
  <c r="AJ17" i="157" s="1"/>
  <c r="AM17" i="157" s="1"/>
  <c r="AP17" i="157" s="1"/>
  <c r="AS17" i="157" s="1"/>
  <c r="AV17" i="157" s="1"/>
  <c r="AY17" i="157" s="1"/>
  <c r="BB17" i="157" s="1"/>
  <c r="BE17" i="157" s="1"/>
  <c r="BH17" i="157" s="1"/>
  <c r="BK17" i="157" s="1"/>
  <c r="BN17" i="157" s="1"/>
  <c r="BQ17" i="157" s="1"/>
  <c r="BT17" i="157" s="1"/>
  <c r="BW17" i="157" s="1"/>
  <c r="BZ17" i="157" s="1"/>
  <c r="CC17" i="157" s="1"/>
  <c r="CF17" i="157" s="1"/>
  <c r="CI17" i="157" s="1"/>
  <c r="CL17" i="157" s="1"/>
  <c r="CO17" i="157" s="1"/>
  <c r="CR17" i="157" s="1"/>
  <c r="CU17" i="157" s="1"/>
  <c r="CW16" i="157"/>
  <c r="CV15" i="157"/>
  <c r="CW15" i="157"/>
  <c r="I15" i="157"/>
  <c r="L15" i="157" s="1"/>
  <c r="O15" i="157" s="1"/>
  <c r="R15" i="157" s="1"/>
  <c r="U15" i="157" s="1"/>
  <c r="X15" i="157" s="1"/>
  <c r="AA15" i="157" s="1"/>
  <c r="AD15" i="157" s="1"/>
  <c r="AG15" i="157" s="1"/>
  <c r="AJ15" i="157" s="1"/>
  <c r="AM15" i="157" s="1"/>
  <c r="AP15" i="157" s="1"/>
  <c r="AS15" i="157" s="1"/>
  <c r="AV15" i="157" s="1"/>
  <c r="AY15" i="157" s="1"/>
  <c r="BB15" i="157" s="1"/>
  <c r="BE15" i="157" s="1"/>
  <c r="BH15" i="157" s="1"/>
  <c r="BK15" i="157" s="1"/>
  <c r="BN15" i="157" s="1"/>
  <c r="BQ15" i="157" s="1"/>
  <c r="BT15" i="157" s="1"/>
  <c r="BW15" i="157" s="1"/>
  <c r="BZ15" i="157" s="1"/>
  <c r="CC15" i="157" s="1"/>
  <c r="CF15" i="157" s="1"/>
  <c r="CI15" i="157" s="1"/>
  <c r="CL15" i="157" s="1"/>
  <c r="CO15" i="157" s="1"/>
  <c r="CR15" i="157" s="1"/>
  <c r="CU15" i="157" s="1"/>
  <c r="CV14" i="157"/>
  <c r="I14" i="157"/>
  <c r="L14" i="157" s="1"/>
  <c r="O14" i="157" s="1"/>
  <c r="R14" i="157" s="1"/>
  <c r="U14" i="157" s="1"/>
  <c r="X14" i="157" s="1"/>
  <c r="AA14" i="157" s="1"/>
  <c r="AD14" i="157" s="1"/>
  <c r="AG14" i="157" s="1"/>
  <c r="AJ14" i="157" s="1"/>
  <c r="AM14" i="157" s="1"/>
  <c r="AP14" i="157" s="1"/>
  <c r="AS14" i="157" s="1"/>
  <c r="AV14" i="157" s="1"/>
  <c r="AY14" i="157" s="1"/>
  <c r="BB14" i="157" s="1"/>
  <c r="BE14" i="157" s="1"/>
  <c r="BH14" i="157" s="1"/>
  <c r="BK14" i="157" s="1"/>
  <c r="BN14" i="157" s="1"/>
  <c r="BQ14" i="157" s="1"/>
  <c r="BT14" i="157" s="1"/>
  <c r="BW14" i="157" s="1"/>
  <c r="BZ14" i="157" s="1"/>
  <c r="CC14" i="157" s="1"/>
  <c r="CF14" i="157" s="1"/>
  <c r="CI14" i="157" s="1"/>
  <c r="CL14" i="157" s="1"/>
  <c r="CO14" i="157" s="1"/>
  <c r="CR14" i="157" s="1"/>
  <c r="CU14" i="157" s="1"/>
  <c r="CV13" i="157"/>
  <c r="I13" i="157"/>
  <c r="CW12" i="157"/>
  <c r="I12" i="157"/>
  <c r="CW11" i="157"/>
  <c r="CV11" i="157"/>
  <c r="I11" i="157"/>
  <c r="L11" i="157" s="1"/>
  <c r="O11" i="157" s="1"/>
  <c r="R11" i="157" s="1"/>
  <c r="U11" i="157" s="1"/>
  <c r="X11" i="157" s="1"/>
  <c r="AA11" i="157" s="1"/>
  <c r="AD11" i="157" s="1"/>
  <c r="AG11" i="157" s="1"/>
  <c r="AJ11" i="157" s="1"/>
  <c r="AM11" i="157" s="1"/>
  <c r="AP11" i="157" s="1"/>
  <c r="AS11" i="157" s="1"/>
  <c r="AV11" i="157" s="1"/>
  <c r="AY11" i="157" s="1"/>
  <c r="BB11" i="157" s="1"/>
  <c r="BE11" i="157" s="1"/>
  <c r="BH11" i="157" s="1"/>
  <c r="BK11" i="157" s="1"/>
  <c r="BN11" i="157" s="1"/>
  <c r="BQ11" i="157" s="1"/>
  <c r="BT11" i="157" s="1"/>
  <c r="BW11" i="157" s="1"/>
  <c r="BZ11" i="157" s="1"/>
  <c r="CC11" i="157" s="1"/>
  <c r="CF11" i="157" s="1"/>
  <c r="CI11" i="157" s="1"/>
  <c r="CL11" i="157" s="1"/>
  <c r="CO11" i="157" s="1"/>
  <c r="CR11" i="157" s="1"/>
  <c r="CU11" i="157" s="1"/>
  <c r="CW10" i="157"/>
  <c r="CV10" i="157"/>
  <c r="I10" i="157"/>
  <c r="L10" i="157" s="1"/>
  <c r="O10" i="157" s="1"/>
  <c r="R10" i="157" s="1"/>
  <c r="U10" i="157" s="1"/>
  <c r="X10" i="157" s="1"/>
  <c r="AA10" i="157" s="1"/>
  <c r="AD10" i="157" s="1"/>
  <c r="AG10" i="157" s="1"/>
  <c r="AJ10" i="157" s="1"/>
  <c r="AM10" i="157" s="1"/>
  <c r="AP10" i="157" s="1"/>
  <c r="AS10" i="157" s="1"/>
  <c r="AV10" i="157" s="1"/>
  <c r="AY10" i="157" s="1"/>
  <c r="BB10" i="157" s="1"/>
  <c r="BE10" i="157" s="1"/>
  <c r="BH10" i="157" s="1"/>
  <c r="BK10" i="157" s="1"/>
  <c r="BN10" i="157" s="1"/>
  <c r="BQ10" i="157" s="1"/>
  <c r="BT10" i="157" s="1"/>
  <c r="BW10" i="157" s="1"/>
  <c r="BZ10" i="157" s="1"/>
  <c r="CC10" i="157" s="1"/>
  <c r="CF10" i="157" s="1"/>
  <c r="CI10" i="157" s="1"/>
  <c r="CL10" i="157" s="1"/>
  <c r="CO10" i="157" s="1"/>
  <c r="CR10" i="157" s="1"/>
  <c r="CU10" i="157" s="1"/>
  <c r="CW9" i="157"/>
  <c r="CV9" i="157"/>
  <c r="I9" i="157"/>
  <c r="L9" i="157" s="1"/>
  <c r="O9" i="157" s="1"/>
  <c r="R9" i="157" s="1"/>
  <c r="U9" i="157" s="1"/>
  <c r="X9" i="157" s="1"/>
  <c r="AA9" i="157" s="1"/>
  <c r="AD9" i="157" s="1"/>
  <c r="AG9" i="157" s="1"/>
  <c r="AJ9" i="157" s="1"/>
  <c r="AM9" i="157" s="1"/>
  <c r="AP9" i="157" s="1"/>
  <c r="AS9" i="157" s="1"/>
  <c r="AV9" i="157" s="1"/>
  <c r="AY9" i="157" s="1"/>
  <c r="BB9" i="157" s="1"/>
  <c r="BE9" i="157" s="1"/>
  <c r="BH9" i="157" s="1"/>
  <c r="BK9" i="157" s="1"/>
  <c r="BN9" i="157" s="1"/>
  <c r="BQ9" i="157" s="1"/>
  <c r="BT9" i="157" s="1"/>
  <c r="BW9" i="157" s="1"/>
  <c r="BZ9" i="157" s="1"/>
  <c r="CC9" i="157" s="1"/>
  <c r="CF9" i="157" s="1"/>
  <c r="CI9" i="157" s="1"/>
  <c r="CL9" i="157" s="1"/>
  <c r="CO9" i="157" s="1"/>
  <c r="CR9" i="157" s="1"/>
  <c r="CU9" i="157" s="1"/>
  <c r="CW8" i="157"/>
  <c r="CV8" i="157"/>
  <c r="I8" i="157"/>
  <c r="L8" i="157" s="1"/>
  <c r="O8" i="157" s="1"/>
  <c r="R8" i="157" s="1"/>
  <c r="U8" i="157" s="1"/>
  <c r="X8" i="157" s="1"/>
  <c r="AA8" i="157" s="1"/>
  <c r="AD8" i="157" s="1"/>
  <c r="AG8" i="157" s="1"/>
  <c r="AJ8" i="157" s="1"/>
  <c r="AM8" i="157" s="1"/>
  <c r="AP8" i="157" s="1"/>
  <c r="AS8" i="157" s="1"/>
  <c r="AV8" i="157" s="1"/>
  <c r="AY8" i="157" s="1"/>
  <c r="BB8" i="157" s="1"/>
  <c r="BE8" i="157" s="1"/>
  <c r="BH8" i="157" s="1"/>
  <c r="BK8" i="157" s="1"/>
  <c r="BN8" i="157" s="1"/>
  <c r="BQ8" i="157" s="1"/>
  <c r="BT8" i="157" s="1"/>
  <c r="BW8" i="157" s="1"/>
  <c r="BZ8" i="157" s="1"/>
  <c r="CC8" i="157" s="1"/>
  <c r="CF8" i="157" s="1"/>
  <c r="CI8" i="157" s="1"/>
  <c r="CL8" i="157" s="1"/>
  <c r="CO8" i="157" s="1"/>
  <c r="CR8" i="157" s="1"/>
  <c r="CU8" i="157" s="1"/>
  <c r="CW7" i="157"/>
  <c r="CV7" i="157"/>
  <c r="I7" i="157"/>
  <c r="L7" i="157" s="1"/>
  <c r="O7" i="157" s="1"/>
  <c r="R7" i="157" s="1"/>
  <c r="U7" i="157" s="1"/>
  <c r="X7" i="157" s="1"/>
  <c r="AA7" i="157" s="1"/>
  <c r="AD7" i="157" s="1"/>
  <c r="AG7" i="157" s="1"/>
  <c r="AJ7" i="157" s="1"/>
  <c r="AM7" i="157" s="1"/>
  <c r="AP7" i="157" s="1"/>
  <c r="AS7" i="157" s="1"/>
  <c r="AV7" i="157" s="1"/>
  <c r="AY7" i="157" s="1"/>
  <c r="BB7" i="157" s="1"/>
  <c r="BE7" i="157" s="1"/>
  <c r="BH7" i="157" s="1"/>
  <c r="BK7" i="157" s="1"/>
  <c r="BN7" i="157" s="1"/>
  <c r="BQ7" i="157" s="1"/>
  <c r="BT7" i="157" s="1"/>
  <c r="BW7" i="157" s="1"/>
  <c r="BZ7" i="157" s="1"/>
  <c r="CC7" i="157" s="1"/>
  <c r="CF7" i="157" s="1"/>
  <c r="CI7" i="157" s="1"/>
  <c r="CL7" i="157" s="1"/>
  <c r="CO7" i="157" s="1"/>
  <c r="CR7" i="157" s="1"/>
  <c r="CU7" i="157" s="1"/>
  <c r="CV6" i="157"/>
  <c r="CW6" i="157"/>
  <c r="CW5" i="157"/>
  <c r="CV5" i="157"/>
  <c r="I5" i="157"/>
  <c r="L5" i="157" s="1"/>
  <c r="O5" i="157" s="1"/>
  <c r="R5" i="157" s="1"/>
  <c r="U5" i="157" s="1"/>
  <c r="X5" i="157" s="1"/>
  <c r="AA5" i="157" s="1"/>
  <c r="AD5" i="157" s="1"/>
  <c r="AG5" i="157" s="1"/>
  <c r="AJ5" i="157" s="1"/>
  <c r="AM5" i="157" s="1"/>
  <c r="AP5" i="157" s="1"/>
  <c r="AS5" i="157" s="1"/>
  <c r="AV5" i="157" s="1"/>
  <c r="AY5" i="157" s="1"/>
  <c r="BB5" i="157" s="1"/>
  <c r="BE5" i="157" s="1"/>
  <c r="BH5" i="157" s="1"/>
  <c r="BK5" i="157" s="1"/>
  <c r="BN5" i="157" s="1"/>
  <c r="BQ5" i="157" s="1"/>
  <c r="BT5" i="157" s="1"/>
  <c r="BW5" i="157" s="1"/>
  <c r="BZ5" i="157" s="1"/>
  <c r="CC5" i="157" s="1"/>
  <c r="CF5" i="157" s="1"/>
  <c r="CI5" i="157" s="1"/>
  <c r="CL5" i="157" s="1"/>
  <c r="CO5" i="157" s="1"/>
  <c r="CR5" i="157" s="1"/>
  <c r="CU5" i="157" s="1"/>
  <c r="CN83" i="156"/>
  <c r="CN75" i="156"/>
  <c r="CG75" i="156"/>
  <c r="CH75" i="156"/>
  <c r="CN63" i="156"/>
  <c r="CN59" i="156"/>
  <c r="CN29" i="156"/>
  <c r="CN39" i="156"/>
  <c r="CN12" i="156"/>
  <c r="CN60" i="156"/>
  <c r="CN14" i="156"/>
  <c r="CN27" i="156"/>
  <c r="CN16" i="156"/>
  <c r="CN40" i="156"/>
  <c r="CN43" i="156"/>
  <c r="CN77" i="156"/>
  <c r="CH40" i="156"/>
  <c r="CH27" i="156"/>
  <c r="CG60" i="156"/>
  <c r="CG36" i="156"/>
  <c r="CG29" i="156"/>
  <c r="CG17" i="156"/>
  <c r="CH83" i="156"/>
  <c r="CH63" i="156"/>
  <c r="CH59" i="156"/>
  <c r="CH17" i="156"/>
  <c r="CH29" i="156"/>
  <c r="CH39" i="156"/>
  <c r="CH12" i="156"/>
  <c r="CH15" i="156"/>
  <c r="CH60" i="156"/>
  <c r="CH53" i="156"/>
  <c r="CH36" i="156"/>
  <c r="CH23" i="156"/>
  <c r="CH16" i="156"/>
  <c r="CH14" i="156"/>
  <c r="CH25" i="156"/>
  <c r="CN6" i="156"/>
  <c r="CN73" i="156"/>
  <c r="CN15" i="156"/>
  <c r="CN13" i="156"/>
  <c r="CN47" i="156"/>
  <c r="CN19" i="156"/>
  <c r="CN58" i="156"/>
  <c r="CN18" i="156"/>
  <c r="CN48" i="156"/>
  <c r="CN25" i="156"/>
  <c r="L13" i="157" l="1"/>
  <c r="O13" i="157" s="1"/>
  <c r="R13" i="157" s="1"/>
  <c r="U13" i="157" s="1"/>
  <c r="X13" i="157" s="1"/>
  <c r="AA13" i="157" s="1"/>
  <c r="AD13" i="157" s="1"/>
  <c r="AG13" i="157" s="1"/>
  <c r="AJ13" i="157" s="1"/>
  <c r="AM13" i="157" s="1"/>
  <c r="AP13" i="157" s="1"/>
  <c r="AS13" i="157" s="1"/>
  <c r="AV13" i="157" s="1"/>
  <c r="AY13" i="157" s="1"/>
  <c r="BB13" i="157" s="1"/>
  <c r="BE13" i="157" s="1"/>
  <c r="BH13" i="157" s="1"/>
  <c r="BK13" i="157" s="1"/>
  <c r="BN13" i="157" s="1"/>
  <c r="BQ13" i="157" s="1"/>
  <c r="BT13" i="157" s="1"/>
  <c r="BW13" i="157" s="1"/>
  <c r="BZ13" i="157" s="1"/>
  <c r="CC13" i="157" s="1"/>
  <c r="CF13" i="157" s="1"/>
  <c r="CI13" i="157" s="1"/>
  <c r="CL13" i="157" s="1"/>
  <c r="CO13" i="157" s="1"/>
  <c r="CR13" i="157" s="1"/>
  <c r="CU13" i="157" s="1"/>
  <c r="CX13" i="157" s="1"/>
  <c r="CZ13" i="157" s="1"/>
  <c r="DB8" i="157"/>
  <c r="DE8" i="157" s="1"/>
  <c r="CX8" i="157"/>
  <c r="CZ8" i="157" s="1"/>
  <c r="DB11" i="157"/>
  <c r="DE11" i="157" s="1"/>
  <c r="CX11" i="157"/>
  <c r="CZ11" i="157" s="1"/>
  <c r="DB5" i="157"/>
  <c r="DE5" i="157" s="1"/>
  <c r="CX5" i="157"/>
  <c r="CZ5" i="157" s="1"/>
  <c r="CX9" i="157"/>
  <c r="CZ9" i="157" s="1"/>
  <c r="DB9" i="157"/>
  <c r="DE9" i="157" s="1"/>
  <c r="DB15" i="157"/>
  <c r="DE15" i="157" s="1"/>
  <c r="CX15" i="157"/>
  <c r="CZ15" i="157" s="1"/>
  <c r="CX17" i="157"/>
  <c r="CZ17" i="157" s="1"/>
  <c r="DB17" i="157"/>
  <c r="DE17" i="157" s="1"/>
  <c r="DB33" i="157"/>
  <c r="DE33" i="157" s="1"/>
  <c r="CX33" i="157"/>
  <c r="CZ33" i="157" s="1"/>
  <c r="DB28" i="157"/>
  <c r="DE28" i="157" s="1"/>
  <c r="CX28" i="157"/>
  <c r="CZ28" i="157" s="1"/>
  <c r="CX7" i="157"/>
  <c r="CZ7" i="157" s="1"/>
  <c r="DB7" i="157"/>
  <c r="DE7" i="157" s="1"/>
  <c r="DB10" i="157"/>
  <c r="DE10" i="157" s="1"/>
  <c r="CX10" i="157"/>
  <c r="CZ10" i="157" s="1"/>
  <c r="CX14" i="157"/>
  <c r="CZ14" i="157" s="1"/>
  <c r="DB14" i="157"/>
  <c r="DE14" i="157" s="1"/>
  <c r="CX18" i="157"/>
  <c r="CZ18" i="157" s="1"/>
  <c r="DB18" i="157"/>
  <c r="DE18" i="157" s="1"/>
  <c r="DB19" i="157"/>
  <c r="DE19" i="157" s="1"/>
  <c r="CX19" i="157"/>
  <c r="CZ19" i="157" s="1"/>
  <c r="CX20" i="157"/>
  <c r="CZ20" i="157" s="1"/>
  <c r="DB20" i="157"/>
  <c r="DE20" i="157" s="1"/>
  <c r="CX30" i="157"/>
  <c r="CZ30" i="157" s="1"/>
  <c r="DB30" i="157"/>
  <c r="DE30" i="157" s="1"/>
  <c r="CX21" i="157"/>
  <c r="CZ21" i="157" s="1"/>
  <c r="DB21" i="157"/>
  <c r="DE21" i="157" s="1"/>
  <c r="CX24" i="157"/>
  <c r="CZ24" i="157" s="1"/>
  <c r="DB24" i="157"/>
  <c r="DE24" i="157" s="1"/>
  <c r="DB27" i="157"/>
  <c r="DE27" i="157" s="1"/>
  <c r="CX27" i="157"/>
  <c r="CZ27" i="157" s="1"/>
  <c r="CX34" i="157"/>
  <c r="CZ34" i="157" s="1"/>
  <c r="DB34" i="157"/>
  <c r="DE34" i="157" s="1"/>
  <c r="DB53" i="157"/>
  <c r="DE53" i="157" s="1"/>
  <c r="CX53" i="157"/>
  <c r="CZ53" i="157" s="1"/>
  <c r="CV12" i="157"/>
  <c r="CW14" i="157"/>
  <c r="CV16" i="157"/>
  <c r="I16" i="157"/>
  <c r="L16" i="157" s="1"/>
  <c r="O16" i="157" s="1"/>
  <c r="R16" i="157" s="1"/>
  <c r="U16" i="157" s="1"/>
  <c r="X16" i="157" s="1"/>
  <c r="AA16" i="157" s="1"/>
  <c r="AD16" i="157" s="1"/>
  <c r="AG16" i="157" s="1"/>
  <c r="AJ16" i="157" s="1"/>
  <c r="AM16" i="157" s="1"/>
  <c r="AP16" i="157" s="1"/>
  <c r="AS16" i="157" s="1"/>
  <c r="AV16" i="157" s="1"/>
  <c r="AY16" i="157" s="1"/>
  <c r="BB16" i="157" s="1"/>
  <c r="BE16" i="157" s="1"/>
  <c r="BH16" i="157" s="1"/>
  <c r="BK16" i="157" s="1"/>
  <c r="BN16" i="157" s="1"/>
  <c r="BQ16" i="157" s="1"/>
  <c r="BT16" i="157" s="1"/>
  <c r="BW16" i="157" s="1"/>
  <c r="BZ16" i="157" s="1"/>
  <c r="CC16" i="157" s="1"/>
  <c r="CF16" i="157" s="1"/>
  <c r="CI16" i="157" s="1"/>
  <c r="CL16" i="157" s="1"/>
  <c r="CO16" i="157" s="1"/>
  <c r="CR16" i="157" s="1"/>
  <c r="CU16" i="157" s="1"/>
  <c r="CX39" i="157"/>
  <c r="CZ39" i="157" s="1"/>
  <c r="DB39" i="157"/>
  <c r="DE39" i="157" s="1"/>
  <c r="CX41" i="157"/>
  <c r="CZ41" i="157" s="1"/>
  <c r="DB41" i="157"/>
  <c r="DE41" i="157" s="1"/>
  <c r="DB45" i="157"/>
  <c r="DE45" i="157" s="1"/>
  <c r="CX45" i="157"/>
  <c r="CZ45" i="157" s="1"/>
  <c r="DB31" i="157"/>
  <c r="DE31" i="157" s="1"/>
  <c r="CX31" i="157"/>
  <c r="CZ31" i="157" s="1"/>
  <c r="CX37" i="157"/>
  <c r="CZ37" i="157" s="1"/>
  <c r="DB37" i="157"/>
  <c r="DE37" i="157" s="1"/>
  <c r="CX49" i="157"/>
  <c r="CZ49" i="157" s="1"/>
  <c r="DB49" i="157"/>
  <c r="DE49" i="157" s="1"/>
  <c r="I6" i="157"/>
  <c r="L6" i="157" s="1"/>
  <c r="O6" i="157" s="1"/>
  <c r="R6" i="157" s="1"/>
  <c r="U6" i="157" s="1"/>
  <c r="X6" i="157" s="1"/>
  <c r="AA6" i="157" s="1"/>
  <c r="AD6" i="157" s="1"/>
  <c r="AG6" i="157" s="1"/>
  <c r="AJ6" i="157" s="1"/>
  <c r="AM6" i="157" s="1"/>
  <c r="AP6" i="157" s="1"/>
  <c r="AS6" i="157" s="1"/>
  <c r="AV6" i="157" s="1"/>
  <c r="AY6" i="157" s="1"/>
  <c r="BB6" i="157" s="1"/>
  <c r="BE6" i="157" s="1"/>
  <c r="BH6" i="157" s="1"/>
  <c r="BK6" i="157" s="1"/>
  <c r="BN6" i="157" s="1"/>
  <c r="BQ6" i="157" s="1"/>
  <c r="BT6" i="157" s="1"/>
  <c r="BW6" i="157" s="1"/>
  <c r="BZ6" i="157" s="1"/>
  <c r="CC6" i="157" s="1"/>
  <c r="CF6" i="157" s="1"/>
  <c r="CI6" i="157" s="1"/>
  <c r="CL6" i="157" s="1"/>
  <c r="CO6" i="157" s="1"/>
  <c r="CR6" i="157" s="1"/>
  <c r="CU6" i="157" s="1"/>
  <c r="CW13" i="157"/>
  <c r="CV17" i="157"/>
  <c r="CW18" i="157"/>
  <c r="CW22" i="157"/>
  <c r="L22" i="157"/>
  <c r="O22" i="157" s="1"/>
  <c r="R22" i="157" s="1"/>
  <c r="U22" i="157" s="1"/>
  <c r="X22" i="157" s="1"/>
  <c r="AA22" i="157" s="1"/>
  <c r="AD22" i="157" s="1"/>
  <c r="AG22" i="157" s="1"/>
  <c r="AJ22" i="157" s="1"/>
  <c r="AM22" i="157" s="1"/>
  <c r="AP22" i="157" s="1"/>
  <c r="AS22" i="157" s="1"/>
  <c r="AV22" i="157" s="1"/>
  <c r="AY22" i="157" s="1"/>
  <c r="BB22" i="157" s="1"/>
  <c r="BE22" i="157" s="1"/>
  <c r="BH22" i="157" s="1"/>
  <c r="BK22" i="157" s="1"/>
  <c r="BN22" i="157" s="1"/>
  <c r="BQ22" i="157" s="1"/>
  <c r="BT22" i="157" s="1"/>
  <c r="BW22" i="157" s="1"/>
  <c r="BZ22" i="157" s="1"/>
  <c r="CC22" i="157" s="1"/>
  <c r="CF22" i="157" s="1"/>
  <c r="CI22" i="157" s="1"/>
  <c r="CL22" i="157" s="1"/>
  <c r="CO22" i="157" s="1"/>
  <c r="CR22" i="157" s="1"/>
  <c r="CU22" i="157" s="1"/>
  <c r="X23" i="157"/>
  <c r="AA23" i="157" s="1"/>
  <c r="AD23" i="157" s="1"/>
  <c r="AG23" i="157" s="1"/>
  <c r="AJ23" i="157" s="1"/>
  <c r="AM23" i="157" s="1"/>
  <c r="AP23" i="157" s="1"/>
  <c r="AS23" i="157" s="1"/>
  <c r="AV23" i="157" s="1"/>
  <c r="AY23" i="157" s="1"/>
  <c r="BB23" i="157" s="1"/>
  <c r="BE23" i="157" s="1"/>
  <c r="BH23" i="157" s="1"/>
  <c r="BK23" i="157" s="1"/>
  <c r="BN23" i="157" s="1"/>
  <c r="BQ23" i="157" s="1"/>
  <c r="BT23" i="157" s="1"/>
  <c r="BW23" i="157" s="1"/>
  <c r="BZ23" i="157" s="1"/>
  <c r="CC23" i="157" s="1"/>
  <c r="CF23" i="157" s="1"/>
  <c r="CI23" i="157" s="1"/>
  <c r="CL23" i="157" s="1"/>
  <c r="CO23" i="157" s="1"/>
  <c r="CR23" i="157" s="1"/>
  <c r="CU23" i="157" s="1"/>
  <c r="U26" i="157"/>
  <c r="X26" i="157" s="1"/>
  <c r="AA26" i="157" s="1"/>
  <c r="AD26" i="157" s="1"/>
  <c r="AG26" i="157" s="1"/>
  <c r="AJ26" i="157" s="1"/>
  <c r="AM26" i="157" s="1"/>
  <c r="AP26" i="157" s="1"/>
  <c r="AS26" i="157" s="1"/>
  <c r="AV26" i="157" s="1"/>
  <c r="AY26" i="157" s="1"/>
  <c r="BB26" i="157" s="1"/>
  <c r="BE26" i="157" s="1"/>
  <c r="BH26" i="157" s="1"/>
  <c r="BK26" i="157" s="1"/>
  <c r="BN26" i="157" s="1"/>
  <c r="BQ26" i="157" s="1"/>
  <c r="BT26" i="157" s="1"/>
  <c r="BW26" i="157" s="1"/>
  <c r="BZ26" i="157" s="1"/>
  <c r="CC26" i="157" s="1"/>
  <c r="CF26" i="157" s="1"/>
  <c r="CI26" i="157" s="1"/>
  <c r="CL26" i="157" s="1"/>
  <c r="CO26" i="157" s="1"/>
  <c r="CR26" i="157" s="1"/>
  <c r="CU26" i="157" s="1"/>
  <c r="CX38" i="157"/>
  <c r="CZ38" i="157" s="1"/>
  <c r="DB38" i="157"/>
  <c r="DE38" i="157" s="1"/>
  <c r="DB42" i="157"/>
  <c r="DE42" i="157" s="1"/>
  <c r="CX42" i="157"/>
  <c r="CZ42" i="157" s="1"/>
  <c r="CX46" i="157"/>
  <c r="CZ46" i="157" s="1"/>
  <c r="DB46" i="157"/>
  <c r="DE46" i="157" s="1"/>
  <c r="DB35" i="157"/>
  <c r="DE35" i="157" s="1"/>
  <c r="CX35" i="157"/>
  <c r="CZ35" i="157" s="1"/>
  <c r="L12" i="157"/>
  <c r="O12" i="157" s="1"/>
  <c r="R12" i="157" s="1"/>
  <c r="U12" i="157" s="1"/>
  <c r="X12" i="157" s="1"/>
  <c r="AA12" i="157" s="1"/>
  <c r="AD12" i="157" s="1"/>
  <c r="AG12" i="157" s="1"/>
  <c r="AJ12" i="157" s="1"/>
  <c r="AM12" i="157" s="1"/>
  <c r="AP12" i="157" s="1"/>
  <c r="AS12" i="157" s="1"/>
  <c r="AV12" i="157" s="1"/>
  <c r="AY12" i="157" s="1"/>
  <c r="BB12" i="157" s="1"/>
  <c r="BE12" i="157" s="1"/>
  <c r="BH12" i="157" s="1"/>
  <c r="BK12" i="157" s="1"/>
  <c r="BN12" i="157" s="1"/>
  <c r="BQ12" i="157" s="1"/>
  <c r="BT12" i="157" s="1"/>
  <c r="BW12" i="157" s="1"/>
  <c r="BZ12" i="157" s="1"/>
  <c r="CC12" i="157" s="1"/>
  <c r="CF12" i="157" s="1"/>
  <c r="CI12" i="157" s="1"/>
  <c r="CL12" i="157" s="1"/>
  <c r="CO12" i="157" s="1"/>
  <c r="CR12" i="157" s="1"/>
  <c r="CU12" i="157" s="1"/>
  <c r="CW19" i="157"/>
  <c r="CW23" i="157"/>
  <c r="CW32" i="157"/>
  <c r="CX36" i="157"/>
  <c r="CZ36" i="157" s="1"/>
  <c r="DB36" i="157"/>
  <c r="DE36" i="157" s="1"/>
  <c r="CX50" i="157"/>
  <c r="CZ50" i="157" s="1"/>
  <c r="DB50" i="157"/>
  <c r="DE50" i="157" s="1"/>
  <c r="O25" i="157"/>
  <c r="R25" i="157" s="1"/>
  <c r="U25" i="157" s="1"/>
  <c r="X25" i="157" s="1"/>
  <c r="AA25" i="157" s="1"/>
  <c r="AD25" i="157" s="1"/>
  <c r="AG25" i="157" s="1"/>
  <c r="AJ25" i="157" s="1"/>
  <c r="AM25" i="157" s="1"/>
  <c r="AP25" i="157" s="1"/>
  <c r="AS25" i="157" s="1"/>
  <c r="AV25" i="157" s="1"/>
  <c r="AY25" i="157" s="1"/>
  <c r="BB25" i="157" s="1"/>
  <c r="BE25" i="157" s="1"/>
  <c r="BH25" i="157" s="1"/>
  <c r="BK25" i="157" s="1"/>
  <c r="BN25" i="157" s="1"/>
  <c r="BQ25" i="157" s="1"/>
  <c r="BT25" i="157" s="1"/>
  <c r="BW25" i="157" s="1"/>
  <c r="BZ25" i="157" s="1"/>
  <c r="CC25" i="157" s="1"/>
  <c r="CF25" i="157" s="1"/>
  <c r="CI25" i="157" s="1"/>
  <c r="CL25" i="157" s="1"/>
  <c r="CO25" i="157" s="1"/>
  <c r="CR25" i="157" s="1"/>
  <c r="CU25" i="157" s="1"/>
  <c r="CV25" i="157"/>
  <c r="CW27" i="157"/>
  <c r="CV29" i="157"/>
  <c r="CV32" i="157"/>
  <c r="I32" i="157"/>
  <c r="L32" i="157" s="1"/>
  <c r="O32" i="157" s="1"/>
  <c r="R32" i="157" s="1"/>
  <c r="U32" i="157" s="1"/>
  <c r="X32" i="157" s="1"/>
  <c r="AA32" i="157" s="1"/>
  <c r="AD32" i="157" s="1"/>
  <c r="AG32" i="157" s="1"/>
  <c r="AJ32" i="157" s="1"/>
  <c r="AM32" i="157" s="1"/>
  <c r="AP32" i="157" s="1"/>
  <c r="AS32" i="157" s="1"/>
  <c r="AV32" i="157" s="1"/>
  <c r="AY32" i="157" s="1"/>
  <c r="BB32" i="157" s="1"/>
  <c r="BE32" i="157" s="1"/>
  <c r="BH32" i="157" s="1"/>
  <c r="BK32" i="157" s="1"/>
  <c r="BN32" i="157" s="1"/>
  <c r="BQ32" i="157" s="1"/>
  <c r="BT32" i="157" s="1"/>
  <c r="BW32" i="157" s="1"/>
  <c r="BZ32" i="157" s="1"/>
  <c r="CC32" i="157" s="1"/>
  <c r="CF32" i="157" s="1"/>
  <c r="CI32" i="157" s="1"/>
  <c r="CL32" i="157" s="1"/>
  <c r="CO32" i="157" s="1"/>
  <c r="CR32" i="157" s="1"/>
  <c r="CU32" i="157" s="1"/>
  <c r="DB51" i="157"/>
  <c r="DE51" i="157" s="1"/>
  <c r="CX51" i="157"/>
  <c r="CZ51" i="157" s="1"/>
  <c r="DB57" i="157"/>
  <c r="DE57" i="157" s="1"/>
  <c r="CX57" i="157"/>
  <c r="CZ57" i="157" s="1"/>
  <c r="DB58" i="157"/>
  <c r="DE58" i="157" s="1"/>
  <c r="CX58" i="157"/>
  <c r="CZ58" i="157" s="1"/>
  <c r="DB67" i="157"/>
  <c r="DE67" i="157" s="1"/>
  <c r="CX67" i="157"/>
  <c r="CZ67" i="157" s="1"/>
  <c r="CX90" i="157"/>
  <c r="CZ90" i="157" s="1"/>
  <c r="DB90" i="157"/>
  <c r="DE90" i="157" s="1"/>
  <c r="DB93" i="157"/>
  <c r="DE93" i="157" s="1"/>
  <c r="CX93" i="157"/>
  <c r="CZ93" i="157" s="1"/>
  <c r="DB44" i="157"/>
  <c r="DE44" i="157" s="1"/>
  <c r="CX44" i="157"/>
  <c r="CZ44" i="157" s="1"/>
  <c r="CX52" i="157"/>
  <c r="CZ52" i="157" s="1"/>
  <c r="DB52" i="157"/>
  <c r="DE52" i="157" s="1"/>
  <c r="DB59" i="157"/>
  <c r="DE59" i="157" s="1"/>
  <c r="CX59" i="157"/>
  <c r="CZ59" i="157" s="1"/>
  <c r="CX65" i="157"/>
  <c r="CZ65" i="157" s="1"/>
  <c r="DB65" i="157"/>
  <c r="DE65" i="157" s="1"/>
  <c r="CX66" i="157"/>
  <c r="CZ66" i="157" s="1"/>
  <c r="DB66" i="157"/>
  <c r="DE66" i="157" s="1"/>
  <c r="DB76" i="157"/>
  <c r="DE76" i="157" s="1"/>
  <c r="CX76" i="157"/>
  <c r="CZ76" i="157" s="1"/>
  <c r="CW17" i="157"/>
  <c r="CV26" i="157"/>
  <c r="CW36" i="157"/>
  <c r="CV36" i="157"/>
  <c r="DB55" i="157"/>
  <c r="DE55" i="157" s="1"/>
  <c r="CX55" i="157"/>
  <c r="CZ55" i="157" s="1"/>
  <c r="CX68" i="157"/>
  <c r="CZ68" i="157" s="1"/>
  <c r="DB68" i="157"/>
  <c r="DE68" i="157" s="1"/>
  <c r="CX54" i="157"/>
  <c r="CZ54" i="157" s="1"/>
  <c r="DB54" i="157"/>
  <c r="DE54" i="157" s="1"/>
  <c r="CX56" i="157"/>
  <c r="CZ56" i="157" s="1"/>
  <c r="DB56" i="157"/>
  <c r="DE56" i="157" s="1"/>
  <c r="CX60" i="157"/>
  <c r="CZ60" i="157" s="1"/>
  <c r="DB60" i="157"/>
  <c r="DE60" i="157" s="1"/>
  <c r="L40" i="157"/>
  <c r="O40" i="157" s="1"/>
  <c r="R40" i="157" s="1"/>
  <c r="U40" i="157" s="1"/>
  <c r="X40" i="157" s="1"/>
  <c r="AA40" i="157" s="1"/>
  <c r="AD40" i="157" s="1"/>
  <c r="AG40" i="157" s="1"/>
  <c r="AJ40" i="157" s="1"/>
  <c r="AM40" i="157" s="1"/>
  <c r="AP40" i="157" s="1"/>
  <c r="AS40" i="157" s="1"/>
  <c r="AV40" i="157" s="1"/>
  <c r="AY40" i="157" s="1"/>
  <c r="BB40" i="157" s="1"/>
  <c r="BE40" i="157" s="1"/>
  <c r="BH40" i="157" s="1"/>
  <c r="BK40" i="157" s="1"/>
  <c r="BN40" i="157" s="1"/>
  <c r="BQ40" i="157" s="1"/>
  <c r="BT40" i="157" s="1"/>
  <c r="BW40" i="157" s="1"/>
  <c r="BZ40" i="157" s="1"/>
  <c r="CC40" i="157" s="1"/>
  <c r="CF40" i="157" s="1"/>
  <c r="CI40" i="157" s="1"/>
  <c r="CL40" i="157" s="1"/>
  <c r="CO40" i="157" s="1"/>
  <c r="CR40" i="157" s="1"/>
  <c r="CU40" i="157" s="1"/>
  <c r="DB71" i="157"/>
  <c r="DE71" i="157" s="1"/>
  <c r="CX71" i="157"/>
  <c r="CZ71" i="157" s="1"/>
  <c r="CV43" i="157"/>
  <c r="I43" i="157"/>
  <c r="L43" i="157" s="1"/>
  <c r="O43" i="157" s="1"/>
  <c r="R43" i="157" s="1"/>
  <c r="U43" i="157" s="1"/>
  <c r="X43" i="157" s="1"/>
  <c r="CW43" i="157"/>
  <c r="O48" i="157"/>
  <c r="R48" i="157" s="1"/>
  <c r="U48" i="157" s="1"/>
  <c r="X48" i="157" s="1"/>
  <c r="AA48" i="157" s="1"/>
  <c r="AD48" i="157" s="1"/>
  <c r="AG48" i="157" s="1"/>
  <c r="AJ48" i="157" s="1"/>
  <c r="AM48" i="157" s="1"/>
  <c r="AP48" i="157" s="1"/>
  <c r="AS48" i="157" s="1"/>
  <c r="AV48" i="157" s="1"/>
  <c r="AY48" i="157" s="1"/>
  <c r="BB48" i="157" s="1"/>
  <c r="BE48" i="157" s="1"/>
  <c r="BH48" i="157" s="1"/>
  <c r="BK48" i="157" s="1"/>
  <c r="BN48" i="157" s="1"/>
  <c r="BQ48" i="157" s="1"/>
  <c r="BT48" i="157" s="1"/>
  <c r="BW48" i="157" s="1"/>
  <c r="BZ48" i="157" s="1"/>
  <c r="CC48" i="157" s="1"/>
  <c r="CF48" i="157" s="1"/>
  <c r="CI48" i="157" s="1"/>
  <c r="CL48" i="157" s="1"/>
  <c r="CO48" i="157" s="1"/>
  <c r="CR48" i="157" s="1"/>
  <c r="CU48" i="157" s="1"/>
  <c r="CW48" i="157"/>
  <c r="CW53" i="157"/>
  <c r="DB61" i="157"/>
  <c r="DE61" i="157" s="1"/>
  <c r="CX61" i="157"/>
  <c r="CZ61" i="157" s="1"/>
  <c r="BB63" i="157"/>
  <c r="BE63" i="157" s="1"/>
  <c r="BH63" i="157" s="1"/>
  <c r="BK63" i="157" s="1"/>
  <c r="BN63" i="157" s="1"/>
  <c r="BQ63" i="157" s="1"/>
  <c r="BT63" i="157" s="1"/>
  <c r="BW63" i="157" s="1"/>
  <c r="BZ63" i="157" s="1"/>
  <c r="CC63" i="157" s="1"/>
  <c r="CF63" i="157" s="1"/>
  <c r="CI63" i="157" s="1"/>
  <c r="CL63" i="157" s="1"/>
  <c r="CO63" i="157" s="1"/>
  <c r="CR63" i="157" s="1"/>
  <c r="CU63" i="157" s="1"/>
  <c r="CX69" i="157"/>
  <c r="CZ69" i="157" s="1"/>
  <c r="DB69" i="157"/>
  <c r="DE69" i="157" s="1"/>
  <c r="CX72" i="157"/>
  <c r="CZ72" i="157" s="1"/>
  <c r="DB72" i="157"/>
  <c r="DE72" i="157" s="1"/>
  <c r="DB81" i="157"/>
  <c r="DE81" i="157" s="1"/>
  <c r="CX81" i="157"/>
  <c r="CZ81" i="157" s="1"/>
  <c r="CX83" i="157"/>
  <c r="CZ83" i="157" s="1"/>
  <c r="DB83" i="157"/>
  <c r="DE83" i="157" s="1"/>
  <c r="I29" i="157"/>
  <c r="L29" i="157" s="1"/>
  <c r="O29" i="157" s="1"/>
  <c r="R29" i="157" s="1"/>
  <c r="U29" i="157" s="1"/>
  <c r="X29" i="157" s="1"/>
  <c r="AA29" i="157" s="1"/>
  <c r="AD29" i="157" s="1"/>
  <c r="AG29" i="157" s="1"/>
  <c r="AJ29" i="157" s="1"/>
  <c r="AM29" i="157" s="1"/>
  <c r="AP29" i="157" s="1"/>
  <c r="AS29" i="157" s="1"/>
  <c r="AV29" i="157" s="1"/>
  <c r="AY29" i="157" s="1"/>
  <c r="BB29" i="157" s="1"/>
  <c r="BE29" i="157" s="1"/>
  <c r="BH29" i="157" s="1"/>
  <c r="BK29" i="157" s="1"/>
  <c r="BN29" i="157" s="1"/>
  <c r="BQ29" i="157" s="1"/>
  <c r="BT29" i="157" s="1"/>
  <c r="BW29" i="157" s="1"/>
  <c r="BZ29" i="157" s="1"/>
  <c r="CC29" i="157" s="1"/>
  <c r="CF29" i="157" s="1"/>
  <c r="CI29" i="157" s="1"/>
  <c r="CL29" i="157" s="1"/>
  <c r="CO29" i="157" s="1"/>
  <c r="CR29" i="157" s="1"/>
  <c r="CU29" i="157" s="1"/>
  <c r="DB62" i="157"/>
  <c r="DE62" i="157" s="1"/>
  <c r="CX62" i="157"/>
  <c r="CZ62" i="157" s="1"/>
  <c r="CW63" i="157"/>
  <c r="CX64" i="157"/>
  <c r="CZ64" i="157" s="1"/>
  <c r="DB64" i="157"/>
  <c r="DE64" i="157" s="1"/>
  <c r="DB70" i="157"/>
  <c r="DE70" i="157" s="1"/>
  <c r="CX70" i="157"/>
  <c r="CZ70" i="157" s="1"/>
  <c r="DB73" i="157"/>
  <c r="DE73" i="157" s="1"/>
  <c r="CX73" i="157"/>
  <c r="CZ73" i="157" s="1"/>
  <c r="CX75" i="157"/>
  <c r="CZ75" i="157" s="1"/>
  <c r="DB75" i="157"/>
  <c r="DE75" i="157" s="1"/>
  <c r="CW40" i="157"/>
  <c r="CV63" i="157"/>
  <c r="CX80" i="157"/>
  <c r="CZ80" i="157" s="1"/>
  <c r="DB80" i="157"/>
  <c r="DE80" i="157" s="1"/>
  <c r="DB85" i="157"/>
  <c r="DE85" i="157" s="1"/>
  <c r="DB86" i="157"/>
  <c r="DE86" i="157" s="1"/>
  <c r="CX86" i="157"/>
  <c r="CZ86" i="157" s="1"/>
  <c r="CX74" i="157"/>
  <c r="CZ74" i="157" s="1"/>
  <c r="DB74" i="157"/>
  <c r="DE74" i="157" s="1"/>
  <c r="DB79" i="157"/>
  <c r="DE79" i="157" s="1"/>
  <c r="CX79" i="157"/>
  <c r="CZ79" i="157" s="1"/>
  <c r="DB87" i="157"/>
  <c r="DE87" i="157" s="1"/>
  <c r="CX87" i="157"/>
  <c r="CZ87" i="157" s="1"/>
  <c r="I47" i="157"/>
  <c r="L47" i="157" s="1"/>
  <c r="O47" i="157" s="1"/>
  <c r="R47" i="157" s="1"/>
  <c r="U47" i="157" s="1"/>
  <c r="X47" i="157" s="1"/>
  <c r="AA47" i="157" s="1"/>
  <c r="AD47" i="157" s="1"/>
  <c r="AG47" i="157" s="1"/>
  <c r="AJ47" i="157" s="1"/>
  <c r="AM47" i="157" s="1"/>
  <c r="AP47" i="157" s="1"/>
  <c r="AS47" i="157" s="1"/>
  <c r="AV47" i="157" s="1"/>
  <c r="AY47" i="157" s="1"/>
  <c r="BB47" i="157" s="1"/>
  <c r="BE47" i="157" s="1"/>
  <c r="BH47" i="157" s="1"/>
  <c r="BK47" i="157" s="1"/>
  <c r="BN47" i="157" s="1"/>
  <c r="BQ47" i="157" s="1"/>
  <c r="BT47" i="157" s="1"/>
  <c r="BW47" i="157" s="1"/>
  <c r="BZ47" i="157" s="1"/>
  <c r="CC47" i="157" s="1"/>
  <c r="CF47" i="157" s="1"/>
  <c r="CI47" i="157" s="1"/>
  <c r="CL47" i="157" s="1"/>
  <c r="CO47" i="157" s="1"/>
  <c r="CR47" i="157" s="1"/>
  <c r="CU47" i="157" s="1"/>
  <c r="CW58" i="157"/>
  <c r="DB88" i="157"/>
  <c r="DE88" i="157" s="1"/>
  <c r="CX88" i="157"/>
  <c r="CZ88" i="157" s="1"/>
  <c r="DB89" i="157"/>
  <c r="DE89" i="157" s="1"/>
  <c r="CX89" i="157"/>
  <c r="CZ89" i="157" s="1"/>
  <c r="CV77" i="157"/>
  <c r="I77" i="157"/>
  <c r="L77" i="157" s="1"/>
  <c r="O77" i="157" s="1"/>
  <c r="R77" i="157" s="1"/>
  <c r="U77" i="157" s="1"/>
  <c r="X77" i="157" s="1"/>
  <c r="AA77" i="157" s="1"/>
  <c r="AD77" i="157" s="1"/>
  <c r="AG77" i="157" s="1"/>
  <c r="AJ77" i="157" s="1"/>
  <c r="AM77" i="157" s="1"/>
  <c r="AP77" i="157" s="1"/>
  <c r="AS77" i="157" s="1"/>
  <c r="AV77" i="157" s="1"/>
  <c r="AY77" i="157" s="1"/>
  <c r="BB77" i="157" s="1"/>
  <c r="BE77" i="157" s="1"/>
  <c r="BH77" i="157" s="1"/>
  <c r="BK77" i="157" s="1"/>
  <c r="BN77" i="157" s="1"/>
  <c r="BQ77" i="157" s="1"/>
  <c r="BT77" i="157" s="1"/>
  <c r="BW77" i="157" s="1"/>
  <c r="BZ77" i="157" s="1"/>
  <c r="CC77" i="157" s="1"/>
  <c r="CF77" i="157" s="1"/>
  <c r="CI77" i="157" s="1"/>
  <c r="CL77" i="157" s="1"/>
  <c r="CO77" i="157" s="1"/>
  <c r="CR77" i="157" s="1"/>
  <c r="CU77" i="157" s="1"/>
  <c r="CX94" i="157"/>
  <c r="CZ94" i="157" s="1"/>
  <c r="DB94" i="157"/>
  <c r="DE94" i="157" s="1"/>
  <c r="CW77" i="157"/>
  <c r="CX91" i="157"/>
  <c r="CZ91" i="157" s="1"/>
  <c r="DB91" i="157"/>
  <c r="DE91" i="157" s="1"/>
  <c r="CX92" i="157"/>
  <c r="CZ92" i="157" s="1"/>
  <c r="CV75" i="157"/>
  <c r="CW75" i="157"/>
  <c r="U84" i="157"/>
  <c r="X84" i="157" s="1"/>
  <c r="AA84" i="157" s="1"/>
  <c r="AD84" i="157" s="1"/>
  <c r="AG84" i="157" s="1"/>
  <c r="AJ84" i="157" s="1"/>
  <c r="AM84" i="157" s="1"/>
  <c r="AP84" i="157" s="1"/>
  <c r="AS84" i="157" s="1"/>
  <c r="AV84" i="157" s="1"/>
  <c r="AY84" i="157" s="1"/>
  <c r="BB84" i="157" s="1"/>
  <c r="BE84" i="157" s="1"/>
  <c r="BH84" i="157" s="1"/>
  <c r="BK84" i="157" s="1"/>
  <c r="BN84" i="157" s="1"/>
  <c r="BQ84" i="157" s="1"/>
  <c r="BT84" i="157" s="1"/>
  <c r="BW84" i="157" s="1"/>
  <c r="BZ84" i="157" s="1"/>
  <c r="CC84" i="157" s="1"/>
  <c r="CF84" i="157" s="1"/>
  <c r="CI84" i="157" s="1"/>
  <c r="CL84" i="157" s="1"/>
  <c r="CO84" i="157" s="1"/>
  <c r="CR84" i="157" s="1"/>
  <c r="CU84" i="157" s="1"/>
  <c r="CW84" i="157"/>
  <c r="CH48" i="156"/>
  <c r="CH19" i="156"/>
  <c r="CB60" i="156"/>
  <c r="CE60" i="156"/>
  <c r="CE59" i="156"/>
  <c r="CD75" i="156"/>
  <c r="CD39" i="156"/>
  <c r="CD36" i="156"/>
  <c r="CD29" i="156"/>
  <c r="CD26" i="156"/>
  <c r="CD19" i="156"/>
  <c r="CD17" i="156"/>
  <c r="AA43" i="157" l="1"/>
  <c r="AD43" i="157" s="1"/>
  <c r="AG43" i="157" s="1"/>
  <c r="AJ43" i="157" s="1"/>
  <c r="AM43" i="157" s="1"/>
  <c r="AP43" i="157" s="1"/>
  <c r="AS43" i="157" s="1"/>
  <c r="AV43" i="157" s="1"/>
  <c r="AY43" i="157" s="1"/>
  <c r="BB43" i="157" s="1"/>
  <c r="BE43" i="157" s="1"/>
  <c r="BH43" i="157" s="1"/>
  <c r="BK43" i="157" s="1"/>
  <c r="BN43" i="157" s="1"/>
  <c r="BQ43" i="157" s="1"/>
  <c r="BT43" i="157" s="1"/>
  <c r="BW43" i="157" s="1"/>
  <c r="BZ43" i="157" s="1"/>
  <c r="CC43" i="157" s="1"/>
  <c r="CF43" i="157" s="1"/>
  <c r="CI43" i="157" s="1"/>
  <c r="CL43" i="157" s="1"/>
  <c r="CO43" i="157" s="1"/>
  <c r="CR43" i="157" s="1"/>
  <c r="CU43" i="157" s="1"/>
  <c r="DB43" i="157" s="1"/>
  <c r="DE43" i="157" s="1"/>
  <c r="DB13" i="157"/>
  <c r="DE13" i="157" s="1"/>
  <c r="DB47" i="157"/>
  <c r="DE47" i="157" s="1"/>
  <c r="CX47" i="157"/>
  <c r="CZ47" i="157" s="1"/>
  <c r="CX22" i="157"/>
  <c r="CZ22" i="157" s="1"/>
  <c r="DB22" i="157"/>
  <c r="DE22" i="157" s="1"/>
  <c r="CX40" i="157"/>
  <c r="CZ40" i="157" s="1"/>
  <c r="DB40" i="157"/>
  <c r="DE40" i="157" s="1"/>
  <c r="DB25" i="157"/>
  <c r="DE25" i="157" s="1"/>
  <c r="CX25" i="157"/>
  <c r="CZ25" i="157" s="1"/>
  <c r="DB12" i="157"/>
  <c r="DE12" i="157" s="1"/>
  <c r="CX12" i="157"/>
  <c r="CZ12" i="157" s="1"/>
  <c r="CX6" i="157"/>
  <c r="CZ6" i="157" s="1"/>
  <c r="DB6" i="157"/>
  <c r="DE6" i="157" s="1"/>
  <c r="CX84" i="157"/>
  <c r="CZ84" i="157" s="1"/>
  <c r="DB84" i="157"/>
  <c r="DE84" i="157" s="1"/>
  <c r="DB32" i="157"/>
  <c r="DE32" i="157" s="1"/>
  <c r="CX32" i="157"/>
  <c r="CZ32" i="157" s="1"/>
  <c r="DB77" i="157"/>
  <c r="DE77" i="157" s="1"/>
  <c r="CX77" i="157"/>
  <c r="CZ77" i="157" s="1"/>
  <c r="DB63" i="157"/>
  <c r="DE63" i="157" s="1"/>
  <c r="CX63" i="157"/>
  <c r="CZ63" i="157" s="1"/>
  <c r="DB26" i="157"/>
  <c r="DE26" i="157" s="1"/>
  <c r="CX26" i="157"/>
  <c r="CZ26" i="157" s="1"/>
  <c r="DB16" i="157"/>
  <c r="DE16" i="157" s="1"/>
  <c r="CX16" i="157"/>
  <c r="CZ16" i="157" s="1"/>
  <c r="DB29" i="157"/>
  <c r="DE29" i="157" s="1"/>
  <c r="CX29" i="157"/>
  <c r="CZ29" i="157" s="1"/>
  <c r="DB48" i="157"/>
  <c r="DE48" i="157" s="1"/>
  <c r="CX48" i="157"/>
  <c r="CZ48" i="157" s="1"/>
  <c r="DB23" i="157"/>
  <c r="DE23" i="157" s="1"/>
  <c r="CX23" i="157"/>
  <c r="CZ23" i="157" s="1"/>
  <c r="CE83" i="156"/>
  <c r="CE75" i="156"/>
  <c r="CE63" i="156"/>
  <c r="CE17" i="156"/>
  <c r="CE29" i="156"/>
  <c r="CE39" i="156"/>
  <c r="CE12" i="156"/>
  <c r="CE77" i="156"/>
  <c r="CE53" i="156"/>
  <c r="CE25" i="156"/>
  <c r="CE23" i="156"/>
  <c r="CE16" i="156"/>
  <c r="CE14" i="156"/>
  <c r="CA15" i="156"/>
  <c r="CH77" i="156"/>
  <c r="CH43" i="156"/>
  <c r="CE43" i="156"/>
  <c r="CE73" i="156"/>
  <c r="CE48" i="156"/>
  <c r="CE40" i="156"/>
  <c r="CE27" i="156"/>
  <c r="CA17" i="156"/>
  <c r="CB63" i="156"/>
  <c r="CE22" i="156"/>
  <c r="BS19" i="156"/>
  <c r="BL19" i="156"/>
  <c r="CE19" i="156"/>
  <c r="CE80" i="156"/>
  <c r="CE15" i="156"/>
  <c r="CE58" i="156"/>
  <c r="CE18" i="156"/>
  <c r="CA77" i="156"/>
  <c r="CB16" i="156"/>
  <c r="CE6" i="156"/>
  <c r="CB29" i="156"/>
  <c r="CA29" i="156"/>
  <c r="CA75" i="156"/>
  <c r="CA63" i="156"/>
  <c r="CA36" i="156"/>
  <c r="CX43" i="157" l="1"/>
  <c r="CZ43" i="157" s="1"/>
  <c r="CZ95" i="157" s="1"/>
  <c r="CZ96" i="157" s="1"/>
  <c r="CB75" i="156"/>
  <c r="CB59" i="156"/>
  <c r="CB17" i="156"/>
  <c r="CB39" i="156"/>
  <c r="CB12" i="156"/>
  <c r="CB15" i="156"/>
  <c r="BX17" i="156"/>
  <c r="BX71" i="156"/>
  <c r="CB53" i="156"/>
  <c r="BY40" i="156"/>
  <c r="BX36" i="156"/>
  <c r="BY36" i="156"/>
  <c r="BY27" i="156"/>
  <c r="BY25" i="156"/>
  <c r="BY15" i="156"/>
  <c r="BY6" i="156"/>
  <c r="CB23" i="156"/>
  <c r="CB14" i="156"/>
  <c r="BV75" i="156" l="1"/>
  <c r="BV63" i="156"/>
  <c r="BV59" i="156"/>
  <c r="BV17" i="156"/>
  <c r="BV29" i="156"/>
  <c r="BV39" i="156"/>
  <c r="BV12" i="156"/>
  <c r="BV15" i="156"/>
  <c r="CB80" i="156"/>
  <c r="CB25" i="156"/>
  <c r="CB13" i="156"/>
  <c r="CB48" i="156"/>
  <c r="CB40" i="156"/>
  <c r="CB27" i="156"/>
  <c r="CB22" i="156"/>
  <c r="CB73" i="156"/>
  <c r="CB43" i="156"/>
  <c r="CB77" i="156"/>
  <c r="CB6" i="156"/>
  <c r="CB58" i="156"/>
  <c r="CB18" i="156"/>
  <c r="BS12" i="156"/>
  <c r="BV60" i="156"/>
  <c r="BV53" i="156"/>
  <c r="BV23" i="156"/>
  <c r="BV16" i="156"/>
  <c r="BV14" i="156"/>
  <c r="BV48" i="156"/>
  <c r="BV13" i="156"/>
  <c r="BX60" i="156" l="1"/>
  <c r="BY23" i="156"/>
  <c r="BY16" i="156"/>
  <c r="BY22" i="156"/>
  <c r="BY14" i="156"/>
  <c r="BY77" i="156"/>
  <c r="BY13" i="156"/>
  <c r="BY43" i="156"/>
  <c r="BY18" i="156"/>
  <c r="BY48" i="156"/>
  <c r="BY71" i="156"/>
  <c r="BY58" i="156"/>
  <c r="BV43" i="156"/>
  <c r="BV27" i="156"/>
  <c r="BV25" i="156"/>
  <c r="BS25" i="156"/>
  <c r="BR71" i="156" l="1"/>
  <c r="BS17" i="156"/>
  <c r="BR75" i="156"/>
  <c r="BR53" i="156" l="1"/>
  <c r="BR39" i="156"/>
  <c r="BR36" i="156"/>
  <c r="BR29" i="156"/>
  <c r="BR26" i="156"/>
  <c r="BR25" i="156"/>
  <c r="BR17" i="156"/>
  <c r="BS39" i="156" l="1"/>
  <c r="BS83" i="156"/>
  <c r="BS75" i="156"/>
  <c r="BS63" i="156"/>
  <c r="BS59" i="156"/>
  <c r="BS29" i="156"/>
  <c r="BS15" i="156"/>
  <c r="BJ40" i="156"/>
  <c r="BS36" i="156"/>
  <c r="BI29" i="156"/>
  <c r="BL29" i="156"/>
  <c r="BM29" i="156"/>
  <c r="BS77" i="156"/>
  <c r="BS60" i="156"/>
  <c r="BS53" i="156"/>
  <c r="BS27" i="156"/>
  <c r="BS40" i="156"/>
  <c r="BS28" i="156"/>
  <c r="BS23" i="156"/>
  <c r="BS16" i="156"/>
  <c r="BS14" i="156"/>
  <c r="BS6" i="156"/>
  <c r="BR77" i="156"/>
  <c r="BL17" i="156"/>
  <c r="BL75" i="156"/>
  <c r="BM75" i="156"/>
  <c r="BL39" i="156"/>
  <c r="BL36" i="156"/>
  <c r="BM83" i="156"/>
  <c r="BM63" i="156"/>
  <c r="BM59" i="156"/>
  <c r="BM39" i="156"/>
  <c r="BM17" i="156"/>
  <c r="BM12" i="156"/>
  <c r="BM15" i="156"/>
  <c r="BM60" i="156"/>
  <c r="BM14" i="156"/>
  <c r="BS13" i="156"/>
  <c r="BS43" i="156"/>
  <c r="BM13" i="156"/>
  <c r="BS18" i="156"/>
  <c r="BS47" i="156"/>
  <c r="BS22" i="156"/>
  <c r="Q48" i="156"/>
  <c r="K48" i="156"/>
  <c r="BM27" i="156"/>
  <c r="BI75" i="156"/>
  <c r="BI59" i="156"/>
  <c r="BI58" i="156"/>
  <c r="BI36" i="156"/>
  <c r="BI26" i="156"/>
  <c r="BI17" i="156"/>
  <c r="BJ29" i="156"/>
  <c r="BJ75" i="156"/>
  <c r="BJ59" i="156"/>
  <c r="BJ60" i="156" l="1"/>
  <c r="BJ53" i="156"/>
  <c r="BJ23" i="156"/>
  <c r="BJ14" i="156"/>
  <c r="BM40" i="156"/>
  <c r="BM22" i="156"/>
  <c r="BM19" i="156"/>
  <c r="BM77" i="156"/>
  <c r="BJ58" i="156"/>
  <c r="BM58" i="156"/>
  <c r="BF18" i="156"/>
  <c r="BM18" i="156"/>
  <c r="BM6" i="156"/>
  <c r="BJ16" i="156"/>
  <c r="BJ15" i="156"/>
  <c r="BJ80" i="156"/>
  <c r="BF16" i="156"/>
  <c r="BJ43" i="156"/>
  <c r="BJ18" i="156"/>
  <c r="BJ82" i="156"/>
  <c r="BJ27" i="156"/>
  <c r="BJ22" i="156"/>
  <c r="BJ77" i="156"/>
  <c r="BJ48" i="156"/>
  <c r="BF15" i="156"/>
  <c r="BJ25" i="156"/>
  <c r="BJ6" i="156"/>
  <c r="BG75" i="156"/>
  <c r="BF75" i="156"/>
  <c r="BF17" i="156"/>
  <c r="BG17" i="156"/>
  <c r="AZ17" i="156"/>
  <c r="BF39" i="156"/>
  <c r="BF36" i="156"/>
  <c r="BF29" i="156"/>
  <c r="BG83" i="156"/>
  <c r="BG63" i="156"/>
  <c r="BG59" i="156"/>
  <c r="BG29" i="156"/>
  <c r="BG39" i="156"/>
  <c r="BG32" i="156"/>
  <c r="BG14" i="156"/>
  <c r="BG48" i="156"/>
  <c r="BG40" i="156"/>
  <c r="BG13" i="156"/>
  <c r="BD60" i="156"/>
  <c r="AZ29" i="156"/>
  <c r="BG60" i="156"/>
  <c r="BG77" i="156"/>
  <c r="BG25" i="156"/>
  <c r="BG23" i="156"/>
  <c r="BG16" i="156"/>
  <c r="BA75" i="156"/>
  <c r="BA29" i="156"/>
  <c r="BA12" i="156"/>
  <c r="BA32" i="156"/>
  <c r="BG27" i="156"/>
  <c r="BG15" i="156"/>
  <c r="AZ36" i="156"/>
  <c r="BG22" i="156"/>
  <c r="BD29" i="156"/>
  <c r="BD39" i="156"/>
  <c r="BD6" i="156"/>
  <c r="BA60" i="156"/>
  <c r="AZ60" i="156"/>
  <c r="BD40" i="156"/>
  <c r="BD27" i="156"/>
  <c r="BD22" i="156"/>
  <c r="BD48" i="156"/>
  <c r="BD23" i="156"/>
  <c r="BD19" i="156"/>
  <c r="BD14" i="156"/>
  <c r="BD77" i="156"/>
  <c r="BD18" i="156"/>
  <c r="BD15" i="156"/>
  <c r="BD73" i="156"/>
  <c r="BD71" i="156"/>
  <c r="BD25" i="156"/>
  <c r="BA71" i="156"/>
  <c r="BA27" i="156"/>
  <c r="BA22" i="156"/>
  <c r="BA14" i="156"/>
  <c r="AZ77" i="156"/>
  <c r="BA77" i="156"/>
  <c r="BA28" i="156"/>
  <c r="AZ25" i="156"/>
  <c r="AZ32" i="156"/>
  <c r="AZ75" i="156" l="1"/>
  <c r="AZ63" i="156"/>
  <c r="AZ39" i="156"/>
  <c r="AZ12" i="156"/>
  <c r="BA25" i="156"/>
  <c r="BA40" i="156"/>
  <c r="BA15" i="156"/>
  <c r="BA6" i="156"/>
  <c r="BA63" i="156"/>
  <c r="BA59" i="156"/>
  <c r="BA17" i="156"/>
  <c r="BA39" i="156"/>
  <c r="BA26" i="156"/>
  <c r="BA8" i="156"/>
  <c r="BA23" i="156"/>
  <c r="BA53" i="156"/>
  <c r="BA16" i="156"/>
  <c r="AX63" i="156"/>
  <c r="AX17" i="156"/>
  <c r="AX75" i="156"/>
  <c r="AX59" i="156"/>
  <c r="AX29" i="156"/>
  <c r="AX12" i="156"/>
  <c r="AX32" i="156"/>
  <c r="BA13" i="156"/>
  <c r="BA48" i="156"/>
  <c r="AR59" i="156"/>
  <c r="AR53" i="156"/>
  <c r="AR16" i="156"/>
  <c r="BA43" i="156"/>
  <c r="AQ29" i="156"/>
  <c r="AQ17" i="156"/>
  <c r="AR63" i="156"/>
  <c r="AR32" i="156"/>
  <c r="AR17" i="156"/>
  <c r="AQ75" i="156"/>
  <c r="AQ63" i="156"/>
  <c r="AQ36" i="156"/>
  <c r="AQ12" i="156"/>
  <c r="AR75" i="156"/>
  <c r="AR29" i="156"/>
  <c r="AR12" i="156"/>
  <c r="AR36" i="156"/>
  <c r="AR14" i="156"/>
  <c r="AR40" i="156"/>
  <c r="AR27" i="156"/>
  <c r="AR25" i="156"/>
  <c r="AR15" i="156"/>
  <c r="AR6" i="156"/>
  <c r="AO73" i="156"/>
  <c r="BA58" i="156"/>
  <c r="BA18" i="156"/>
  <c r="AN77" i="156"/>
  <c r="AR48" i="156" l="1"/>
  <c r="AR13" i="156"/>
  <c r="AN75" i="156"/>
  <c r="AN36" i="156"/>
  <c r="AN29" i="156"/>
  <c r="AN26" i="156"/>
  <c r="AN17" i="156"/>
  <c r="AN12" i="156"/>
  <c r="AO75" i="156"/>
  <c r="AO63" i="156"/>
  <c r="AO59" i="156"/>
  <c r="AO17" i="156"/>
  <c r="AO29" i="156"/>
  <c r="AO12" i="156"/>
  <c r="AO15" i="156"/>
  <c r="AK53" i="156"/>
  <c r="AO77" i="156"/>
  <c r="AO60" i="156"/>
  <c r="AO23" i="156"/>
  <c r="AO14" i="156"/>
  <c r="AO8" i="156"/>
  <c r="AO43" i="156"/>
  <c r="AO16" i="156"/>
  <c r="AO47" i="156"/>
  <c r="AO25" i="156"/>
  <c r="AO40" i="156"/>
  <c r="AO27" i="156"/>
  <c r="AO22" i="156"/>
  <c r="AO13" i="156"/>
  <c r="AO80" i="156"/>
  <c r="AO48" i="156"/>
  <c r="AO58" i="156"/>
  <c r="AO18" i="156"/>
  <c r="AO6" i="156"/>
  <c r="AK75" i="156"/>
  <c r="AL75" i="156"/>
  <c r="AF17" i="156"/>
  <c r="AK36" i="156"/>
  <c r="AF63" i="156"/>
  <c r="AL83" i="156"/>
  <c r="AL59" i="156"/>
  <c r="AL17" i="156"/>
  <c r="AL12" i="156"/>
  <c r="AL29" i="156"/>
  <c r="AL13" i="156" l="1"/>
  <c r="AL27" i="156"/>
  <c r="AL40" i="156"/>
  <c r="AL48" i="156"/>
  <c r="AL60" i="156"/>
  <c r="AL36" i="156"/>
  <c r="AL23" i="156"/>
  <c r="AL16" i="156"/>
  <c r="AL14" i="156"/>
  <c r="AI25" i="156"/>
  <c r="AI40" i="156"/>
  <c r="AI27" i="156"/>
  <c r="AL25" i="156"/>
  <c r="AL6" i="156"/>
  <c r="AF40" i="156"/>
  <c r="AL22" i="156"/>
  <c r="AF22" i="156"/>
  <c r="AL71" i="156"/>
  <c r="AL43" i="156"/>
  <c r="AL15" i="156"/>
  <c r="AL58" i="156"/>
  <c r="AE18" i="156"/>
  <c r="AL18" i="156"/>
  <c r="AL77" i="156"/>
  <c r="AI43" i="156"/>
  <c r="AI6" i="156"/>
  <c r="AI16" i="156"/>
  <c r="AI73" i="156"/>
  <c r="AI77" i="156"/>
  <c r="AI60" i="156"/>
  <c r="AI23" i="156"/>
  <c r="AI15" i="156"/>
  <c r="AI22" i="156"/>
  <c r="AI19" i="156"/>
  <c r="AI14" i="156"/>
  <c r="AE32" i="156"/>
  <c r="AF32" i="156"/>
  <c r="AE17" i="156"/>
  <c r="AE75" i="156"/>
  <c r="AE36" i="156"/>
  <c r="AE29" i="156"/>
  <c r="AE12" i="156"/>
  <c r="AF75" i="156"/>
  <c r="AF59" i="156"/>
  <c r="AF29" i="156"/>
  <c r="AF12" i="156"/>
  <c r="AF15" i="156"/>
  <c r="AH77" i="156" l="1"/>
  <c r="AF60" i="156"/>
  <c r="AF36" i="156"/>
  <c r="AF25" i="156"/>
  <c r="AF23" i="156"/>
  <c r="AF16" i="156"/>
  <c r="AF14" i="156"/>
  <c r="AC14" i="156"/>
  <c r="AC15" i="156"/>
  <c r="AB24" i="156"/>
  <c r="AB36" i="156"/>
  <c r="AF48" i="156"/>
  <c r="AF13" i="156"/>
  <c r="AF27" i="156"/>
  <c r="AF47" i="156"/>
  <c r="AF77" i="156"/>
  <c r="AF6" i="156"/>
  <c r="W40" i="156"/>
  <c r="AC27" i="156"/>
  <c r="AC40" i="156"/>
  <c r="V17" i="156"/>
  <c r="AB75" i="156"/>
  <c r="AB63" i="156"/>
  <c r="AB32" i="156"/>
  <c r="AB29" i="156"/>
  <c r="AB26" i="156"/>
  <c r="AB25" i="156"/>
  <c r="AC36" i="156"/>
  <c r="AC25" i="156"/>
  <c r="AC6" i="156"/>
  <c r="AC32" i="156" l="1"/>
  <c r="AC75" i="156"/>
  <c r="AC63" i="156"/>
  <c r="AC59" i="156"/>
  <c r="AC17" i="156"/>
  <c r="AC29" i="156"/>
  <c r="AC39" i="156"/>
  <c r="AC12" i="156"/>
  <c r="AC60" i="156"/>
  <c r="AC77" i="156"/>
  <c r="AC23" i="156"/>
  <c r="AC16" i="156"/>
  <c r="AC73" i="156"/>
  <c r="AC13" i="156"/>
  <c r="AC18" i="156"/>
  <c r="AC58" i="156"/>
  <c r="AC22" i="156"/>
  <c r="V75" i="156"/>
  <c r="W75" i="156"/>
  <c r="T17" i="156"/>
  <c r="G32" i="156"/>
  <c r="V12" i="156"/>
  <c r="W12" i="156"/>
  <c r="V63" i="156"/>
  <c r="V59" i="156"/>
  <c r="V36" i="156"/>
  <c r="W83" i="156"/>
  <c r="W63" i="156"/>
  <c r="W59" i="156"/>
  <c r="W17" i="156"/>
  <c r="W29" i="156"/>
  <c r="W32" i="156"/>
  <c r="W60" i="156"/>
  <c r="W53" i="156"/>
  <c r="W36" i="156"/>
  <c r="W25" i="156"/>
  <c r="W23" i="156"/>
  <c r="W16" i="156"/>
  <c r="W14" i="156"/>
  <c r="T14" i="156"/>
  <c r="W27" i="156"/>
  <c r="W58" i="156"/>
  <c r="W24" i="156"/>
  <c r="W13" i="156"/>
  <c r="W18" i="156"/>
  <c r="W6" i="156"/>
  <c r="W48" i="156" l="1"/>
  <c r="S17" i="156"/>
  <c r="J63" i="156"/>
  <c r="P18" i="156"/>
  <c r="S75" i="156"/>
  <c r="S53" i="156"/>
  <c r="S36" i="156"/>
  <c r="S29" i="156"/>
  <c r="S26" i="156"/>
  <c r="T83" i="156" l="1"/>
  <c r="T75" i="156"/>
  <c r="T63" i="156"/>
  <c r="T59" i="156"/>
  <c r="P17" i="156"/>
  <c r="T29" i="156"/>
  <c r="T12" i="156"/>
  <c r="T32" i="156"/>
  <c r="T60" i="156"/>
  <c r="T53" i="156"/>
  <c r="T16" i="156"/>
  <c r="T15" i="156"/>
  <c r="T18" i="156"/>
  <c r="T48" i="156"/>
  <c r="T43" i="156"/>
  <c r="P63" i="156"/>
  <c r="T40" i="156"/>
  <c r="T27" i="156"/>
  <c r="T13" i="156"/>
  <c r="T19" i="156"/>
  <c r="T80" i="156"/>
  <c r="T58" i="156"/>
  <c r="T25" i="156"/>
  <c r="T77" i="156"/>
  <c r="T22" i="156"/>
  <c r="T6" i="156"/>
  <c r="N71" i="156"/>
  <c r="K71" i="156"/>
  <c r="Q60" i="156"/>
  <c r="P75" i="156"/>
  <c r="Q75" i="156"/>
  <c r="P36" i="156"/>
  <c r="P29" i="156"/>
  <c r="P12" i="156"/>
  <c r="Q83" i="156"/>
  <c r="Q63" i="156"/>
  <c r="Q59" i="156"/>
  <c r="Q17" i="156"/>
  <c r="Q29" i="156"/>
  <c r="Q12" i="156"/>
  <c r="Q32" i="156"/>
  <c r="Q40" i="156"/>
  <c r="Q27" i="156"/>
  <c r="Q25" i="156"/>
  <c r="Q15" i="156"/>
  <c r="Q6" i="156"/>
  <c r="Q14" i="156"/>
  <c r="Q16" i="156"/>
  <c r="Q13" i="156"/>
  <c r="Q80" i="156"/>
  <c r="J17" i="156"/>
  <c r="Q22" i="156"/>
  <c r="Q73" i="156"/>
  <c r="Q58" i="156"/>
  <c r="N27" i="156"/>
  <c r="P77" i="156"/>
  <c r="N40" i="156"/>
  <c r="N15" i="156"/>
  <c r="N13" i="156"/>
  <c r="N6" i="156"/>
  <c r="N14" i="156"/>
  <c r="N25" i="156"/>
  <c r="N48" i="156"/>
  <c r="N77" i="156"/>
  <c r="N60" i="156"/>
  <c r="N22" i="156"/>
  <c r="N73" i="156"/>
  <c r="J73" i="156"/>
  <c r="N36" i="156"/>
  <c r="J24" i="156"/>
  <c r="N24" i="156"/>
  <c r="N29" i="156"/>
  <c r="K17" i="156"/>
  <c r="G17" i="156"/>
  <c r="G63" i="156"/>
  <c r="J12" i="156"/>
  <c r="J75" i="156"/>
  <c r="J36" i="156"/>
  <c r="J29" i="156"/>
  <c r="K83" i="156"/>
  <c r="K75" i="156"/>
  <c r="K63" i="156"/>
  <c r="K59" i="156"/>
  <c r="K29" i="156"/>
  <c r="K39" i="156"/>
  <c r="K12" i="156"/>
  <c r="K32" i="156"/>
  <c r="K15" i="156"/>
  <c r="K60" i="156"/>
  <c r="K36" i="156"/>
  <c r="K14" i="156"/>
  <c r="K16" i="156"/>
  <c r="H36" i="156"/>
  <c r="H13" i="156"/>
  <c r="K40" i="156"/>
  <c r="K18" i="156"/>
  <c r="G29" i="156"/>
  <c r="G75" i="156"/>
  <c r="H75" i="156"/>
  <c r="K13" i="156"/>
  <c r="K27" i="156"/>
  <c r="K58" i="156"/>
  <c r="K77" i="156"/>
  <c r="K6" i="156"/>
  <c r="G77" i="156" l="1"/>
  <c r="G60" i="156"/>
  <c r="G53" i="156"/>
  <c r="G43" i="156"/>
  <c r="G39" i="156"/>
  <c r="G36" i="156"/>
  <c r="G26" i="156"/>
  <c r="G16" i="156"/>
  <c r="G12" i="156"/>
  <c r="H63" i="156"/>
  <c r="H59" i="156"/>
  <c r="H17" i="156"/>
  <c r="H29" i="156"/>
  <c r="H12" i="156"/>
  <c r="H32" i="156"/>
  <c r="H15" i="156"/>
  <c r="H27" i="156"/>
  <c r="H23" i="156"/>
  <c r="H14" i="156"/>
  <c r="H16" i="156"/>
  <c r="CP17" i="155"/>
  <c r="H58" i="156"/>
  <c r="H47" i="156"/>
  <c r="CP63" i="155" l="1"/>
  <c r="CQ32" i="155"/>
  <c r="CP32" i="155"/>
  <c r="CP75" i="155"/>
  <c r="CP60" i="155"/>
  <c r="CP39" i="155"/>
  <c r="CP36" i="155"/>
  <c r="CP29" i="155"/>
  <c r="CP12" i="155"/>
  <c r="CV39" i="156"/>
  <c r="CQ75" i="155"/>
  <c r="CQ63" i="155"/>
  <c r="CQ59" i="155"/>
  <c r="CQ17" i="155"/>
  <c r="CQ29" i="155"/>
  <c r="CQ39" i="155"/>
  <c r="CV12" i="156"/>
  <c r="CQ12" i="155"/>
  <c r="CQ15" i="155"/>
  <c r="CQ77" i="155"/>
  <c r="CQ60" i="155"/>
  <c r="CQ14" i="155"/>
  <c r="CM15" i="155"/>
  <c r="H40" i="156"/>
  <c r="CW40" i="156" s="1"/>
  <c r="CW15" i="156"/>
  <c r="CW13" i="156"/>
  <c r="H25" i="156"/>
  <c r="H6" i="156"/>
  <c r="I6" i="156" s="1"/>
  <c r="I27" i="156"/>
  <c r="H48" i="156"/>
  <c r="I48" i="156" s="1"/>
  <c r="I36" i="156"/>
  <c r="CQ48" i="155"/>
  <c r="CQ25" i="155"/>
  <c r="CW93" i="156"/>
  <c r="CV93" i="156"/>
  <c r="I93" i="156"/>
  <c r="L93" i="156" s="1"/>
  <c r="O93" i="156" s="1"/>
  <c r="R93" i="156" s="1"/>
  <c r="U93" i="156" s="1"/>
  <c r="X93" i="156" s="1"/>
  <c r="AA93" i="156" s="1"/>
  <c r="AD93" i="156" s="1"/>
  <c r="AG93" i="156" s="1"/>
  <c r="AJ93" i="156" s="1"/>
  <c r="AM93" i="156" s="1"/>
  <c r="AP93" i="156" s="1"/>
  <c r="AS93" i="156" s="1"/>
  <c r="AV93" i="156" s="1"/>
  <c r="AY93" i="156" s="1"/>
  <c r="BB93" i="156" s="1"/>
  <c r="BE93" i="156" s="1"/>
  <c r="BH93" i="156" s="1"/>
  <c r="BK93" i="156" s="1"/>
  <c r="BN93" i="156" s="1"/>
  <c r="BQ93" i="156" s="1"/>
  <c r="BT93" i="156" s="1"/>
  <c r="BW93" i="156" s="1"/>
  <c r="BZ93" i="156" s="1"/>
  <c r="CC93" i="156" s="1"/>
  <c r="CF93" i="156" s="1"/>
  <c r="CI93" i="156" s="1"/>
  <c r="CL93" i="156" s="1"/>
  <c r="CO93" i="156" s="1"/>
  <c r="CR93" i="156" s="1"/>
  <c r="CU93" i="156" s="1"/>
  <c r="CW92" i="156"/>
  <c r="CV92" i="156"/>
  <c r="I92" i="156"/>
  <c r="L92" i="156" s="1"/>
  <c r="O92" i="156" s="1"/>
  <c r="R92" i="156" s="1"/>
  <c r="U92" i="156" s="1"/>
  <c r="X92" i="156" s="1"/>
  <c r="AA92" i="156" s="1"/>
  <c r="AD92" i="156" s="1"/>
  <c r="AG92" i="156" s="1"/>
  <c r="AJ92" i="156" s="1"/>
  <c r="AM92" i="156" s="1"/>
  <c r="AP92" i="156" s="1"/>
  <c r="AS92" i="156" s="1"/>
  <c r="AV92" i="156" s="1"/>
  <c r="AY92" i="156" s="1"/>
  <c r="BB92" i="156" s="1"/>
  <c r="BE92" i="156" s="1"/>
  <c r="BH92" i="156" s="1"/>
  <c r="BK92" i="156" s="1"/>
  <c r="BN92" i="156" s="1"/>
  <c r="BQ92" i="156" s="1"/>
  <c r="BT92" i="156" s="1"/>
  <c r="BW92" i="156" s="1"/>
  <c r="BZ92" i="156" s="1"/>
  <c r="CC92" i="156" s="1"/>
  <c r="CF92" i="156" s="1"/>
  <c r="CI92" i="156" s="1"/>
  <c r="CL92" i="156" s="1"/>
  <c r="CO92" i="156" s="1"/>
  <c r="CR92" i="156" s="1"/>
  <c r="CU92" i="156" s="1"/>
  <c r="CW91" i="156"/>
  <c r="CV91" i="156"/>
  <c r="I91" i="156"/>
  <c r="L91" i="156" s="1"/>
  <c r="O91" i="156" s="1"/>
  <c r="R91" i="156" s="1"/>
  <c r="U91" i="156" s="1"/>
  <c r="X91" i="156" s="1"/>
  <c r="AA91" i="156" s="1"/>
  <c r="AD91" i="156" s="1"/>
  <c r="AG91" i="156" s="1"/>
  <c r="AJ91" i="156" s="1"/>
  <c r="AM91" i="156" s="1"/>
  <c r="AP91" i="156" s="1"/>
  <c r="AS91" i="156" s="1"/>
  <c r="AV91" i="156" s="1"/>
  <c r="AY91" i="156" s="1"/>
  <c r="BB91" i="156" s="1"/>
  <c r="BE91" i="156" s="1"/>
  <c r="BH91" i="156" s="1"/>
  <c r="BK91" i="156" s="1"/>
  <c r="BN91" i="156" s="1"/>
  <c r="BQ91" i="156" s="1"/>
  <c r="BT91" i="156" s="1"/>
  <c r="BW91" i="156" s="1"/>
  <c r="BZ91" i="156" s="1"/>
  <c r="CC91" i="156" s="1"/>
  <c r="CF91" i="156" s="1"/>
  <c r="CI91" i="156" s="1"/>
  <c r="CL91" i="156" s="1"/>
  <c r="CO91" i="156" s="1"/>
  <c r="CR91" i="156" s="1"/>
  <c r="CU91" i="156" s="1"/>
  <c r="CW90" i="156"/>
  <c r="CV90" i="156"/>
  <c r="I90" i="156"/>
  <c r="L90" i="156" s="1"/>
  <c r="O90" i="156" s="1"/>
  <c r="R90" i="156" s="1"/>
  <c r="U90" i="156" s="1"/>
  <c r="X90" i="156" s="1"/>
  <c r="AA90" i="156" s="1"/>
  <c r="AD90" i="156" s="1"/>
  <c r="AG90" i="156" s="1"/>
  <c r="AJ90" i="156" s="1"/>
  <c r="AM90" i="156" s="1"/>
  <c r="AP90" i="156" s="1"/>
  <c r="AS90" i="156" s="1"/>
  <c r="AV90" i="156" s="1"/>
  <c r="AY90" i="156" s="1"/>
  <c r="BB90" i="156" s="1"/>
  <c r="BE90" i="156" s="1"/>
  <c r="BH90" i="156" s="1"/>
  <c r="BK90" i="156" s="1"/>
  <c r="BN90" i="156" s="1"/>
  <c r="BQ90" i="156" s="1"/>
  <c r="BT90" i="156" s="1"/>
  <c r="BW90" i="156" s="1"/>
  <c r="BZ90" i="156" s="1"/>
  <c r="CC90" i="156" s="1"/>
  <c r="CF90" i="156" s="1"/>
  <c r="CI90" i="156" s="1"/>
  <c r="CL90" i="156" s="1"/>
  <c r="CO90" i="156" s="1"/>
  <c r="CR90" i="156" s="1"/>
  <c r="CU90" i="156" s="1"/>
  <c r="CW89" i="156"/>
  <c r="CV89" i="156"/>
  <c r="I89" i="156"/>
  <c r="L89" i="156" s="1"/>
  <c r="O89" i="156" s="1"/>
  <c r="R89" i="156" s="1"/>
  <c r="U89" i="156" s="1"/>
  <c r="X89" i="156" s="1"/>
  <c r="AA89" i="156" s="1"/>
  <c r="AD89" i="156" s="1"/>
  <c r="AG89" i="156" s="1"/>
  <c r="AJ89" i="156" s="1"/>
  <c r="AM89" i="156" s="1"/>
  <c r="AP89" i="156" s="1"/>
  <c r="AS89" i="156" s="1"/>
  <c r="AV89" i="156" s="1"/>
  <c r="AY89" i="156" s="1"/>
  <c r="BB89" i="156" s="1"/>
  <c r="BE89" i="156" s="1"/>
  <c r="BH89" i="156" s="1"/>
  <c r="BK89" i="156" s="1"/>
  <c r="BN89" i="156" s="1"/>
  <c r="BQ89" i="156" s="1"/>
  <c r="BT89" i="156" s="1"/>
  <c r="BW89" i="156" s="1"/>
  <c r="BZ89" i="156" s="1"/>
  <c r="CC89" i="156" s="1"/>
  <c r="CF89" i="156" s="1"/>
  <c r="CI89" i="156" s="1"/>
  <c r="CL89" i="156" s="1"/>
  <c r="CO89" i="156" s="1"/>
  <c r="CR89" i="156" s="1"/>
  <c r="CU89" i="156" s="1"/>
  <c r="CW88" i="156"/>
  <c r="CV88" i="156"/>
  <c r="I88" i="156"/>
  <c r="L88" i="156" s="1"/>
  <c r="O88" i="156" s="1"/>
  <c r="R88" i="156" s="1"/>
  <c r="U88" i="156" s="1"/>
  <c r="X88" i="156" s="1"/>
  <c r="AA88" i="156" s="1"/>
  <c r="AD88" i="156" s="1"/>
  <c r="AG88" i="156" s="1"/>
  <c r="AJ88" i="156" s="1"/>
  <c r="AM88" i="156" s="1"/>
  <c r="AP88" i="156" s="1"/>
  <c r="AS88" i="156" s="1"/>
  <c r="AV88" i="156" s="1"/>
  <c r="AY88" i="156" s="1"/>
  <c r="BB88" i="156" s="1"/>
  <c r="BE88" i="156" s="1"/>
  <c r="BH88" i="156" s="1"/>
  <c r="BK88" i="156" s="1"/>
  <c r="BN88" i="156" s="1"/>
  <c r="BQ88" i="156" s="1"/>
  <c r="BT88" i="156" s="1"/>
  <c r="BW88" i="156" s="1"/>
  <c r="BZ88" i="156" s="1"/>
  <c r="CC88" i="156" s="1"/>
  <c r="CF88" i="156" s="1"/>
  <c r="CI88" i="156" s="1"/>
  <c r="CL88" i="156" s="1"/>
  <c r="CO88" i="156" s="1"/>
  <c r="CR88" i="156" s="1"/>
  <c r="CU88" i="156" s="1"/>
  <c r="CW87" i="156"/>
  <c r="CV87" i="156"/>
  <c r="I87" i="156"/>
  <c r="L87" i="156" s="1"/>
  <c r="O87" i="156" s="1"/>
  <c r="R87" i="156" s="1"/>
  <c r="U87" i="156" s="1"/>
  <c r="X87" i="156" s="1"/>
  <c r="AA87" i="156" s="1"/>
  <c r="AD87" i="156" s="1"/>
  <c r="AG87" i="156" s="1"/>
  <c r="AJ87" i="156" s="1"/>
  <c r="AM87" i="156" s="1"/>
  <c r="AP87" i="156" s="1"/>
  <c r="AS87" i="156" s="1"/>
  <c r="AV87" i="156" s="1"/>
  <c r="AY87" i="156" s="1"/>
  <c r="BB87" i="156" s="1"/>
  <c r="BE87" i="156" s="1"/>
  <c r="BH87" i="156" s="1"/>
  <c r="BK87" i="156" s="1"/>
  <c r="BN87" i="156" s="1"/>
  <c r="BQ87" i="156" s="1"/>
  <c r="BT87" i="156" s="1"/>
  <c r="BW87" i="156" s="1"/>
  <c r="BZ87" i="156" s="1"/>
  <c r="CC87" i="156" s="1"/>
  <c r="CF87" i="156" s="1"/>
  <c r="CI87" i="156" s="1"/>
  <c r="CL87" i="156" s="1"/>
  <c r="CO87" i="156" s="1"/>
  <c r="CR87" i="156" s="1"/>
  <c r="CU87" i="156" s="1"/>
  <c r="CW86" i="156"/>
  <c r="CV86" i="156"/>
  <c r="I86" i="156"/>
  <c r="L86" i="156" s="1"/>
  <c r="O86" i="156" s="1"/>
  <c r="R86" i="156" s="1"/>
  <c r="U86" i="156" s="1"/>
  <c r="X86" i="156" s="1"/>
  <c r="AA86" i="156" s="1"/>
  <c r="AD86" i="156" s="1"/>
  <c r="AG86" i="156" s="1"/>
  <c r="AJ86" i="156" s="1"/>
  <c r="AM86" i="156" s="1"/>
  <c r="AP86" i="156" s="1"/>
  <c r="AS86" i="156" s="1"/>
  <c r="AV86" i="156" s="1"/>
  <c r="AY86" i="156" s="1"/>
  <c r="BB86" i="156" s="1"/>
  <c r="BE86" i="156" s="1"/>
  <c r="BH86" i="156" s="1"/>
  <c r="BK86" i="156" s="1"/>
  <c r="BN86" i="156" s="1"/>
  <c r="BQ86" i="156" s="1"/>
  <c r="BT86" i="156" s="1"/>
  <c r="BW86" i="156" s="1"/>
  <c r="BZ86" i="156" s="1"/>
  <c r="CC86" i="156" s="1"/>
  <c r="CF86" i="156" s="1"/>
  <c r="CI86" i="156" s="1"/>
  <c r="CL86" i="156" s="1"/>
  <c r="CO86" i="156" s="1"/>
  <c r="CR86" i="156" s="1"/>
  <c r="CU86" i="156" s="1"/>
  <c r="CW85" i="156"/>
  <c r="CV85" i="156"/>
  <c r="I85" i="156"/>
  <c r="L85" i="156" s="1"/>
  <c r="O85" i="156" s="1"/>
  <c r="R85" i="156" s="1"/>
  <c r="U85" i="156" s="1"/>
  <c r="X85" i="156" s="1"/>
  <c r="AA85" i="156" s="1"/>
  <c r="AD85" i="156" s="1"/>
  <c r="AG85" i="156" s="1"/>
  <c r="AJ85" i="156" s="1"/>
  <c r="AM85" i="156" s="1"/>
  <c r="AP85" i="156" s="1"/>
  <c r="AS85" i="156" s="1"/>
  <c r="AV85" i="156" s="1"/>
  <c r="AY85" i="156" s="1"/>
  <c r="BB85" i="156" s="1"/>
  <c r="BE85" i="156" s="1"/>
  <c r="BH85" i="156" s="1"/>
  <c r="BK85" i="156" s="1"/>
  <c r="BN85" i="156" s="1"/>
  <c r="BQ85" i="156" s="1"/>
  <c r="BT85" i="156" s="1"/>
  <c r="BW85" i="156" s="1"/>
  <c r="BZ85" i="156" s="1"/>
  <c r="CC85" i="156" s="1"/>
  <c r="CF85" i="156" s="1"/>
  <c r="CI85" i="156" s="1"/>
  <c r="CL85" i="156" s="1"/>
  <c r="CO85" i="156" s="1"/>
  <c r="CR85" i="156" s="1"/>
  <c r="CU85" i="156" s="1"/>
  <c r="CW84" i="156"/>
  <c r="CV84" i="156"/>
  <c r="I84" i="156"/>
  <c r="L84" i="156" s="1"/>
  <c r="O84" i="156" s="1"/>
  <c r="R84" i="156" s="1"/>
  <c r="U84" i="156" s="1"/>
  <c r="X84" i="156" s="1"/>
  <c r="AA84" i="156" s="1"/>
  <c r="AD84" i="156" s="1"/>
  <c r="AG84" i="156" s="1"/>
  <c r="AJ84" i="156" s="1"/>
  <c r="AM84" i="156" s="1"/>
  <c r="AP84" i="156" s="1"/>
  <c r="AS84" i="156" s="1"/>
  <c r="AV84" i="156" s="1"/>
  <c r="AY84" i="156" s="1"/>
  <c r="BB84" i="156" s="1"/>
  <c r="BE84" i="156" s="1"/>
  <c r="BH84" i="156" s="1"/>
  <c r="BK84" i="156" s="1"/>
  <c r="BN84" i="156" s="1"/>
  <c r="BQ84" i="156" s="1"/>
  <c r="BT84" i="156" s="1"/>
  <c r="BW84" i="156" s="1"/>
  <c r="BZ84" i="156" s="1"/>
  <c r="CC84" i="156" s="1"/>
  <c r="CF84" i="156" s="1"/>
  <c r="CI84" i="156" s="1"/>
  <c r="CL84" i="156" s="1"/>
  <c r="CO84" i="156" s="1"/>
  <c r="CR84" i="156" s="1"/>
  <c r="CU84" i="156" s="1"/>
  <c r="CV83" i="156"/>
  <c r="I83" i="156"/>
  <c r="L83" i="156" s="1"/>
  <c r="O83" i="156" s="1"/>
  <c r="R83" i="156" s="1"/>
  <c r="U83" i="156" s="1"/>
  <c r="X83" i="156" s="1"/>
  <c r="AA83" i="156" s="1"/>
  <c r="AD83" i="156" s="1"/>
  <c r="AG83" i="156" s="1"/>
  <c r="AJ83" i="156" s="1"/>
  <c r="AM83" i="156" s="1"/>
  <c r="AP83" i="156" s="1"/>
  <c r="AS83" i="156" s="1"/>
  <c r="AV83" i="156" s="1"/>
  <c r="AY83" i="156" s="1"/>
  <c r="BB83" i="156" s="1"/>
  <c r="BE83" i="156" s="1"/>
  <c r="BH83" i="156" s="1"/>
  <c r="BK83" i="156" s="1"/>
  <c r="BN83" i="156" s="1"/>
  <c r="BQ83" i="156" s="1"/>
  <c r="BT83" i="156" s="1"/>
  <c r="BW83" i="156" s="1"/>
  <c r="BZ83" i="156" s="1"/>
  <c r="CC83" i="156" s="1"/>
  <c r="CF83" i="156" s="1"/>
  <c r="CI83" i="156" s="1"/>
  <c r="CL83" i="156" s="1"/>
  <c r="CO83" i="156" s="1"/>
  <c r="CR83" i="156" s="1"/>
  <c r="CU83" i="156" s="1"/>
  <c r="CV82" i="156"/>
  <c r="CW82" i="156"/>
  <c r="I82" i="156"/>
  <c r="L82" i="156" s="1"/>
  <c r="O82" i="156" s="1"/>
  <c r="R82" i="156" s="1"/>
  <c r="U82" i="156" s="1"/>
  <c r="X82" i="156" s="1"/>
  <c r="AA82" i="156" s="1"/>
  <c r="AD82" i="156" s="1"/>
  <c r="AG82" i="156" s="1"/>
  <c r="AJ82" i="156" s="1"/>
  <c r="AM82" i="156" s="1"/>
  <c r="AP82" i="156" s="1"/>
  <c r="AS82" i="156" s="1"/>
  <c r="AV82" i="156" s="1"/>
  <c r="AY82" i="156" s="1"/>
  <c r="BB82" i="156" s="1"/>
  <c r="BE82" i="156" s="1"/>
  <c r="BH82" i="156" s="1"/>
  <c r="BK82" i="156" s="1"/>
  <c r="BN82" i="156" s="1"/>
  <c r="BQ82" i="156" s="1"/>
  <c r="BT82" i="156" s="1"/>
  <c r="BW82" i="156" s="1"/>
  <c r="BZ82" i="156" s="1"/>
  <c r="CC82" i="156" s="1"/>
  <c r="CF82" i="156" s="1"/>
  <c r="CI82" i="156" s="1"/>
  <c r="CL82" i="156" s="1"/>
  <c r="CO82" i="156" s="1"/>
  <c r="CR82" i="156" s="1"/>
  <c r="CU82" i="156" s="1"/>
  <c r="CW81" i="156"/>
  <c r="CV81" i="156"/>
  <c r="I81" i="156"/>
  <c r="L81" i="156" s="1"/>
  <c r="O81" i="156" s="1"/>
  <c r="R81" i="156" s="1"/>
  <c r="U81" i="156" s="1"/>
  <c r="X81" i="156" s="1"/>
  <c r="AA81" i="156" s="1"/>
  <c r="AD81" i="156" s="1"/>
  <c r="AG81" i="156" s="1"/>
  <c r="AJ81" i="156" s="1"/>
  <c r="AM81" i="156" s="1"/>
  <c r="AP81" i="156" s="1"/>
  <c r="AS81" i="156" s="1"/>
  <c r="AV81" i="156" s="1"/>
  <c r="AY81" i="156" s="1"/>
  <c r="BB81" i="156" s="1"/>
  <c r="BE81" i="156" s="1"/>
  <c r="BH81" i="156" s="1"/>
  <c r="BK81" i="156" s="1"/>
  <c r="BN81" i="156" s="1"/>
  <c r="BQ81" i="156" s="1"/>
  <c r="BT81" i="156" s="1"/>
  <c r="BW81" i="156" s="1"/>
  <c r="BZ81" i="156" s="1"/>
  <c r="CC81" i="156" s="1"/>
  <c r="CF81" i="156" s="1"/>
  <c r="CI81" i="156" s="1"/>
  <c r="CL81" i="156" s="1"/>
  <c r="CO81" i="156" s="1"/>
  <c r="CR81" i="156" s="1"/>
  <c r="CU81" i="156" s="1"/>
  <c r="CV80" i="156"/>
  <c r="I80" i="156"/>
  <c r="L80" i="156" s="1"/>
  <c r="O80" i="156" s="1"/>
  <c r="R80" i="156" s="1"/>
  <c r="U80" i="156" s="1"/>
  <c r="X80" i="156" s="1"/>
  <c r="AA80" i="156" s="1"/>
  <c r="AD80" i="156" s="1"/>
  <c r="AG80" i="156" s="1"/>
  <c r="AJ80" i="156" s="1"/>
  <c r="AM80" i="156" s="1"/>
  <c r="AP80" i="156" s="1"/>
  <c r="AS80" i="156" s="1"/>
  <c r="AV80" i="156" s="1"/>
  <c r="AY80" i="156" s="1"/>
  <c r="BB80" i="156" s="1"/>
  <c r="BE80" i="156" s="1"/>
  <c r="BH80" i="156" s="1"/>
  <c r="BK80" i="156" s="1"/>
  <c r="BN80" i="156" s="1"/>
  <c r="BQ80" i="156" s="1"/>
  <c r="BT80" i="156" s="1"/>
  <c r="BW80" i="156" s="1"/>
  <c r="BZ80" i="156" s="1"/>
  <c r="CC80" i="156" s="1"/>
  <c r="CF80" i="156" s="1"/>
  <c r="CI80" i="156" s="1"/>
  <c r="CL80" i="156" s="1"/>
  <c r="CO80" i="156" s="1"/>
  <c r="CR80" i="156" s="1"/>
  <c r="CU80" i="156" s="1"/>
  <c r="CW80" i="156"/>
  <c r="CW79" i="156"/>
  <c r="CV79" i="156"/>
  <c r="I79" i="156"/>
  <c r="L79" i="156" s="1"/>
  <c r="O79" i="156" s="1"/>
  <c r="R79" i="156" s="1"/>
  <c r="U79" i="156" s="1"/>
  <c r="X79" i="156" s="1"/>
  <c r="AA79" i="156" s="1"/>
  <c r="AD79" i="156" s="1"/>
  <c r="AG79" i="156" s="1"/>
  <c r="AJ79" i="156" s="1"/>
  <c r="AM79" i="156" s="1"/>
  <c r="AP79" i="156" s="1"/>
  <c r="AS79" i="156" s="1"/>
  <c r="AV79" i="156" s="1"/>
  <c r="AY79" i="156" s="1"/>
  <c r="BB79" i="156" s="1"/>
  <c r="BE79" i="156" s="1"/>
  <c r="BH79" i="156" s="1"/>
  <c r="BK79" i="156" s="1"/>
  <c r="BN79" i="156" s="1"/>
  <c r="BQ79" i="156" s="1"/>
  <c r="BT79" i="156" s="1"/>
  <c r="BW79" i="156" s="1"/>
  <c r="BZ79" i="156" s="1"/>
  <c r="CC79" i="156" s="1"/>
  <c r="CF79" i="156" s="1"/>
  <c r="CI79" i="156" s="1"/>
  <c r="CL79" i="156" s="1"/>
  <c r="CO79" i="156" s="1"/>
  <c r="CR79" i="156" s="1"/>
  <c r="CU79" i="156" s="1"/>
  <c r="CZ78" i="156"/>
  <c r="CW78" i="156"/>
  <c r="CV78" i="156"/>
  <c r="I78" i="156"/>
  <c r="L78" i="156" s="1"/>
  <c r="O78" i="156" s="1"/>
  <c r="R78" i="156" s="1"/>
  <c r="U78" i="156" s="1"/>
  <c r="X78" i="156" s="1"/>
  <c r="AA78" i="156" s="1"/>
  <c r="AD78" i="156" s="1"/>
  <c r="AG78" i="156" s="1"/>
  <c r="AJ78" i="156" s="1"/>
  <c r="AM78" i="156" s="1"/>
  <c r="AP78" i="156" s="1"/>
  <c r="AS78" i="156" s="1"/>
  <c r="AV78" i="156" s="1"/>
  <c r="AY78" i="156" s="1"/>
  <c r="BB78" i="156" s="1"/>
  <c r="BE78" i="156" s="1"/>
  <c r="BH78" i="156" s="1"/>
  <c r="BK78" i="156" s="1"/>
  <c r="BN78" i="156" s="1"/>
  <c r="BQ78" i="156" s="1"/>
  <c r="BT78" i="156" s="1"/>
  <c r="BW78" i="156" s="1"/>
  <c r="BZ78" i="156" s="1"/>
  <c r="CC78" i="156" s="1"/>
  <c r="CF78" i="156" s="1"/>
  <c r="CI78" i="156" s="1"/>
  <c r="CL78" i="156" s="1"/>
  <c r="CO78" i="156" s="1"/>
  <c r="CR78" i="156" s="1"/>
  <c r="CU78" i="156" s="1"/>
  <c r="DB78" i="156" s="1"/>
  <c r="DE78" i="156" s="1"/>
  <c r="CW77" i="156"/>
  <c r="CV77" i="156"/>
  <c r="CW76" i="156"/>
  <c r="CV76" i="156"/>
  <c r="I76" i="156"/>
  <c r="L76" i="156" s="1"/>
  <c r="O76" i="156" s="1"/>
  <c r="R76" i="156" s="1"/>
  <c r="U76" i="156" s="1"/>
  <c r="X76" i="156" s="1"/>
  <c r="AA76" i="156" s="1"/>
  <c r="AD76" i="156" s="1"/>
  <c r="AG76" i="156" s="1"/>
  <c r="AJ76" i="156" s="1"/>
  <c r="AM76" i="156" s="1"/>
  <c r="AP76" i="156" s="1"/>
  <c r="AS76" i="156" s="1"/>
  <c r="AV76" i="156" s="1"/>
  <c r="AY76" i="156" s="1"/>
  <c r="BB76" i="156" s="1"/>
  <c r="BE76" i="156" s="1"/>
  <c r="BH76" i="156" s="1"/>
  <c r="BK76" i="156" s="1"/>
  <c r="BN76" i="156" s="1"/>
  <c r="BQ76" i="156" s="1"/>
  <c r="BT76" i="156" s="1"/>
  <c r="BW76" i="156" s="1"/>
  <c r="BZ76" i="156" s="1"/>
  <c r="CC76" i="156" s="1"/>
  <c r="CF76" i="156" s="1"/>
  <c r="CI76" i="156" s="1"/>
  <c r="CL76" i="156" s="1"/>
  <c r="CO76" i="156" s="1"/>
  <c r="CR76" i="156" s="1"/>
  <c r="CU76" i="156" s="1"/>
  <c r="CW75" i="156"/>
  <c r="CV75" i="156"/>
  <c r="CW74" i="156"/>
  <c r="CV74" i="156"/>
  <c r="I74" i="156"/>
  <c r="L74" i="156" s="1"/>
  <c r="O74" i="156" s="1"/>
  <c r="R74" i="156" s="1"/>
  <c r="U74" i="156" s="1"/>
  <c r="X74" i="156" s="1"/>
  <c r="AA74" i="156" s="1"/>
  <c r="AD74" i="156" s="1"/>
  <c r="AG74" i="156" s="1"/>
  <c r="AJ74" i="156" s="1"/>
  <c r="AM74" i="156" s="1"/>
  <c r="AP74" i="156" s="1"/>
  <c r="AS74" i="156" s="1"/>
  <c r="AV74" i="156" s="1"/>
  <c r="AY74" i="156" s="1"/>
  <c r="BB74" i="156" s="1"/>
  <c r="BE74" i="156" s="1"/>
  <c r="BH74" i="156" s="1"/>
  <c r="BK74" i="156" s="1"/>
  <c r="BN74" i="156" s="1"/>
  <c r="BQ74" i="156" s="1"/>
  <c r="BT74" i="156" s="1"/>
  <c r="BW74" i="156" s="1"/>
  <c r="BZ74" i="156" s="1"/>
  <c r="CC74" i="156" s="1"/>
  <c r="CF74" i="156" s="1"/>
  <c r="CI74" i="156" s="1"/>
  <c r="CL74" i="156" s="1"/>
  <c r="CO74" i="156" s="1"/>
  <c r="CR74" i="156" s="1"/>
  <c r="CU74" i="156" s="1"/>
  <c r="CV73" i="156"/>
  <c r="CW73" i="156"/>
  <c r="I73" i="156"/>
  <c r="CW72" i="156"/>
  <c r="CV72" i="156"/>
  <c r="I72" i="156"/>
  <c r="L72" i="156" s="1"/>
  <c r="O72" i="156" s="1"/>
  <c r="R72" i="156" s="1"/>
  <c r="U72" i="156" s="1"/>
  <c r="X72" i="156" s="1"/>
  <c r="AA72" i="156" s="1"/>
  <c r="AD72" i="156" s="1"/>
  <c r="AG72" i="156" s="1"/>
  <c r="AJ72" i="156" s="1"/>
  <c r="AM72" i="156" s="1"/>
  <c r="AP72" i="156" s="1"/>
  <c r="AS72" i="156" s="1"/>
  <c r="AV72" i="156" s="1"/>
  <c r="AY72" i="156" s="1"/>
  <c r="BB72" i="156" s="1"/>
  <c r="BE72" i="156" s="1"/>
  <c r="BH72" i="156" s="1"/>
  <c r="BK72" i="156" s="1"/>
  <c r="BN72" i="156" s="1"/>
  <c r="BQ72" i="156" s="1"/>
  <c r="BT72" i="156" s="1"/>
  <c r="BW72" i="156" s="1"/>
  <c r="BZ72" i="156" s="1"/>
  <c r="CC72" i="156" s="1"/>
  <c r="CF72" i="156" s="1"/>
  <c r="CI72" i="156" s="1"/>
  <c r="CL72" i="156" s="1"/>
  <c r="CO72" i="156" s="1"/>
  <c r="CR72" i="156" s="1"/>
  <c r="CU72" i="156" s="1"/>
  <c r="CW71" i="156"/>
  <c r="CV71" i="156"/>
  <c r="I71" i="156"/>
  <c r="L71" i="156" s="1"/>
  <c r="O71" i="156" s="1"/>
  <c r="R71" i="156" s="1"/>
  <c r="U71" i="156" s="1"/>
  <c r="X71" i="156" s="1"/>
  <c r="AA71" i="156" s="1"/>
  <c r="AD71" i="156" s="1"/>
  <c r="AG71" i="156" s="1"/>
  <c r="AJ71" i="156" s="1"/>
  <c r="AM71" i="156" s="1"/>
  <c r="AP71" i="156" s="1"/>
  <c r="AS71" i="156" s="1"/>
  <c r="AV71" i="156" s="1"/>
  <c r="AY71" i="156" s="1"/>
  <c r="BB71" i="156" s="1"/>
  <c r="BE71" i="156" s="1"/>
  <c r="BH71" i="156" s="1"/>
  <c r="BK71" i="156" s="1"/>
  <c r="BN71" i="156" s="1"/>
  <c r="BQ71" i="156" s="1"/>
  <c r="BT71" i="156" s="1"/>
  <c r="BW71" i="156" s="1"/>
  <c r="BZ71" i="156" s="1"/>
  <c r="CC71" i="156" s="1"/>
  <c r="CF71" i="156" s="1"/>
  <c r="CI71" i="156" s="1"/>
  <c r="CL71" i="156" s="1"/>
  <c r="CO71" i="156" s="1"/>
  <c r="CR71" i="156" s="1"/>
  <c r="CU71" i="156" s="1"/>
  <c r="CW70" i="156"/>
  <c r="CV70" i="156"/>
  <c r="I70" i="156"/>
  <c r="L70" i="156" s="1"/>
  <c r="O70" i="156" s="1"/>
  <c r="R70" i="156" s="1"/>
  <c r="U70" i="156" s="1"/>
  <c r="X70" i="156" s="1"/>
  <c r="AA70" i="156" s="1"/>
  <c r="AD70" i="156" s="1"/>
  <c r="AG70" i="156" s="1"/>
  <c r="AJ70" i="156" s="1"/>
  <c r="AM70" i="156" s="1"/>
  <c r="AP70" i="156" s="1"/>
  <c r="AS70" i="156" s="1"/>
  <c r="AV70" i="156" s="1"/>
  <c r="AY70" i="156" s="1"/>
  <c r="BB70" i="156" s="1"/>
  <c r="BE70" i="156" s="1"/>
  <c r="BH70" i="156" s="1"/>
  <c r="BK70" i="156" s="1"/>
  <c r="BN70" i="156" s="1"/>
  <c r="BQ70" i="156" s="1"/>
  <c r="BT70" i="156" s="1"/>
  <c r="BW70" i="156" s="1"/>
  <c r="BZ70" i="156" s="1"/>
  <c r="CC70" i="156" s="1"/>
  <c r="CF70" i="156" s="1"/>
  <c r="CI70" i="156" s="1"/>
  <c r="CL70" i="156" s="1"/>
  <c r="CO70" i="156" s="1"/>
  <c r="CR70" i="156" s="1"/>
  <c r="CU70" i="156" s="1"/>
  <c r="CW69" i="156"/>
  <c r="CV69" i="156"/>
  <c r="I69" i="156"/>
  <c r="L69" i="156" s="1"/>
  <c r="O69" i="156" s="1"/>
  <c r="R69" i="156" s="1"/>
  <c r="U69" i="156" s="1"/>
  <c r="X69" i="156" s="1"/>
  <c r="AA69" i="156" s="1"/>
  <c r="AD69" i="156" s="1"/>
  <c r="AG69" i="156" s="1"/>
  <c r="AJ69" i="156" s="1"/>
  <c r="AM69" i="156" s="1"/>
  <c r="AP69" i="156" s="1"/>
  <c r="AS69" i="156" s="1"/>
  <c r="AV69" i="156" s="1"/>
  <c r="AY69" i="156" s="1"/>
  <c r="BB69" i="156" s="1"/>
  <c r="BE69" i="156" s="1"/>
  <c r="BH69" i="156" s="1"/>
  <c r="BK69" i="156" s="1"/>
  <c r="BN69" i="156" s="1"/>
  <c r="BQ69" i="156" s="1"/>
  <c r="BT69" i="156" s="1"/>
  <c r="BW69" i="156" s="1"/>
  <c r="BZ69" i="156" s="1"/>
  <c r="CC69" i="156" s="1"/>
  <c r="CF69" i="156" s="1"/>
  <c r="CI69" i="156" s="1"/>
  <c r="CL69" i="156" s="1"/>
  <c r="CO69" i="156" s="1"/>
  <c r="CR69" i="156" s="1"/>
  <c r="CU69" i="156" s="1"/>
  <c r="CV68" i="156"/>
  <c r="CW68" i="156"/>
  <c r="I68" i="156"/>
  <c r="L68" i="156" s="1"/>
  <c r="O68" i="156" s="1"/>
  <c r="R68" i="156" s="1"/>
  <c r="U68" i="156" s="1"/>
  <c r="X68" i="156" s="1"/>
  <c r="AA68" i="156" s="1"/>
  <c r="AD68" i="156" s="1"/>
  <c r="AG68" i="156" s="1"/>
  <c r="AJ68" i="156" s="1"/>
  <c r="AM68" i="156" s="1"/>
  <c r="AP68" i="156" s="1"/>
  <c r="AS68" i="156" s="1"/>
  <c r="AV68" i="156" s="1"/>
  <c r="AY68" i="156" s="1"/>
  <c r="BB68" i="156" s="1"/>
  <c r="BE68" i="156" s="1"/>
  <c r="BH68" i="156" s="1"/>
  <c r="BK68" i="156" s="1"/>
  <c r="BN68" i="156" s="1"/>
  <c r="BQ68" i="156" s="1"/>
  <c r="BT68" i="156" s="1"/>
  <c r="BW68" i="156" s="1"/>
  <c r="BZ68" i="156" s="1"/>
  <c r="CC68" i="156" s="1"/>
  <c r="CF68" i="156" s="1"/>
  <c r="CI68" i="156" s="1"/>
  <c r="CL68" i="156" s="1"/>
  <c r="CO68" i="156" s="1"/>
  <c r="CR68" i="156" s="1"/>
  <c r="CU68" i="156" s="1"/>
  <c r="CW67" i="156"/>
  <c r="CV67" i="156"/>
  <c r="I67" i="156"/>
  <c r="L67" i="156" s="1"/>
  <c r="O67" i="156" s="1"/>
  <c r="R67" i="156" s="1"/>
  <c r="U67" i="156" s="1"/>
  <c r="X67" i="156" s="1"/>
  <c r="AA67" i="156" s="1"/>
  <c r="AD67" i="156" s="1"/>
  <c r="AG67" i="156" s="1"/>
  <c r="AJ67" i="156" s="1"/>
  <c r="AM67" i="156" s="1"/>
  <c r="AP67" i="156" s="1"/>
  <c r="AS67" i="156" s="1"/>
  <c r="AV67" i="156" s="1"/>
  <c r="AY67" i="156" s="1"/>
  <c r="BB67" i="156" s="1"/>
  <c r="BE67" i="156" s="1"/>
  <c r="BH67" i="156" s="1"/>
  <c r="BK67" i="156" s="1"/>
  <c r="BN67" i="156" s="1"/>
  <c r="BQ67" i="156" s="1"/>
  <c r="BT67" i="156" s="1"/>
  <c r="BW67" i="156" s="1"/>
  <c r="BZ67" i="156" s="1"/>
  <c r="CC67" i="156" s="1"/>
  <c r="CF67" i="156" s="1"/>
  <c r="CI67" i="156" s="1"/>
  <c r="CL67" i="156" s="1"/>
  <c r="CO67" i="156" s="1"/>
  <c r="CR67" i="156" s="1"/>
  <c r="CU67" i="156" s="1"/>
  <c r="CW66" i="156"/>
  <c r="CV66" i="156"/>
  <c r="I66" i="156"/>
  <c r="L66" i="156" s="1"/>
  <c r="O66" i="156" s="1"/>
  <c r="R66" i="156" s="1"/>
  <c r="U66" i="156" s="1"/>
  <c r="X66" i="156" s="1"/>
  <c r="AA66" i="156" s="1"/>
  <c r="AD66" i="156" s="1"/>
  <c r="AG66" i="156" s="1"/>
  <c r="AJ66" i="156" s="1"/>
  <c r="AM66" i="156" s="1"/>
  <c r="AP66" i="156" s="1"/>
  <c r="AS66" i="156" s="1"/>
  <c r="AV66" i="156" s="1"/>
  <c r="AY66" i="156" s="1"/>
  <c r="BB66" i="156" s="1"/>
  <c r="BE66" i="156" s="1"/>
  <c r="BH66" i="156" s="1"/>
  <c r="BK66" i="156" s="1"/>
  <c r="BN66" i="156" s="1"/>
  <c r="BQ66" i="156" s="1"/>
  <c r="BT66" i="156" s="1"/>
  <c r="BW66" i="156" s="1"/>
  <c r="BZ66" i="156" s="1"/>
  <c r="CC66" i="156" s="1"/>
  <c r="CF66" i="156" s="1"/>
  <c r="CI66" i="156" s="1"/>
  <c r="CL66" i="156" s="1"/>
  <c r="CO66" i="156" s="1"/>
  <c r="CR66" i="156" s="1"/>
  <c r="CU66" i="156" s="1"/>
  <c r="CW65" i="156"/>
  <c r="CV65" i="156"/>
  <c r="I65" i="156"/>
  <c r="L65" i="156" s="1"/>
  <c r="O65" i="156" s="1"/>
  <c r="R65" i="156" s="1"/>
  <c r="U65" i="156" s="1"/>
  <c r="X65" i="156" s="1"/>
  <c r="AA65" i="156" s="1"/>
  <c r="AD65" i="156" s="1"/>
  <c r="AG65" i="156" s="1"/>
  <c r="AJ65" i="156" s="1"/>
  <c r="AM65" i="156" s="1"/>
  <c r="AP65" i="156" s="1"/>
  <c r="AS65" i="156" s="1"/>
  <c r="AV65" i="156" s="1"/>
  <c r="AY65" i="156" s="1"/>
  <c r="BB65" i="156" s="1"/>
  <c r="BE65" i="156" s="1"/>
  <c r="BH65" i="156" s="1"/>
  <c r="BK65" i="156" s="1"/>
  <c r="BN65" i="156" s="1"/>
  <c r="BQ65" i="156" s="1"/>
  <c r="BT65" i="156" s="1"/>
  <c r="BW65" i="156" s="1"/>
  <c r="BZ65" i="156" s="1"/>
  <c r="CC65" i="156" s="1"/>
  <c r="CF65" i="156" s="1"/>
  <c r="CI65" i="156" s="1"/>
  <c r="CL65" i="156" s="1"/>
  <c r="CO65" i="156" s="1"/>
  <c r="CR65" i="156" s="1"/>
  <c r="CU65" i="156" s="1"/>
  <c r="CW64" i="156"/>
  <c r="CV64" i="156"/>
  <c r="I64" i="156"/>
  <c r="L64" i="156" s="1"/>
  <c r="O64" i="156" s="1"/>
  <c r="R64" i="156" s="1"/>
  <c r="U64" i="156" s="1"/>
  <c r="X64" i="156" s="1"/>
  <c r="AA64" i="156" s="1"/>
  <c r="AD64" i="156" s="1"/>
  <c r="AG64" i="156" s="1"/>
  <c r="AJ64" i="156" s="1"/>
  <c r="AM64" i="156" s="1"/>
  <c r="AP64" i="156" s="1"/>
  <c r="AS64" i="156" s="1"/>
  <c r="AV64" i="156" s="1"/>
  <c r="AY64" i="156" s="1"/>
  <c r="BB64" i="156" s="1"/>
  <c r="BE64" i="156" s="1"/>
  <c r="BH64" i="156" s="1"/>
  <c r="BK64" i="156" s="1"/>
  <c r="BN64" i="156" s="1"/>
  <c r="BQ64" i="156" s="1"/>
  <c r="BT64" i="156" s="1"/>
  <c r="BW64" i="156" s="1"/>
  <c r="BZ64" i="156" s="1"/>
  <c r="CC64" i="156" s="1"/>
  <c r="CF64" i="156" s="1"/>
  <c r="CI64" i="156" s="1"/>
  <c r="CL64" i="156" s="1"/>
  <c r="CO64" i="156" s="1"/>
  <c r="CR64" i="156" s="1"/>
  <c r="CU64" i="156" s="1"/>
  <c r="CW63" i="156"/>
  <c r="CW62" i="156"/>
  <c r="CV62" i="156"/>
  <c r="I62" i="156"/>
  <c r="L62" i="156" s="1"/>
  <c r="O62" i="156" s="1"/>
  <c r="R62" i="156" s="1"/>
  <c r="U62" i="156" s="1"/>
  <c r="X62" i="156" s="1"/>
  <c r="AA62" i="156" s="1"/>
  <c r="AD62" i="156" s="1"/>
  <c r="AG62" i="156" s="1"/>
  <c r="AJ62" i="156" s="1"/>
  <c r="AM62" i="156" s="1"/>
  <c r="AP62" i="156" s="1"/>
  <c r="AS62" i="156" s="1"/>
  <c r="AV62" i="156" s="1"/>
  <c r="AY62" i="156" s="1"/>
  <c r="BB62" i="156" s="1"/>
  <c r="BE62" i="156" s="1"/>
  <c r="BH62" i="156" s="1"/>
  <c r="BK62" i="156" s="1"/>
  <c r="BN62" i="156" s="1"/>
  <c r="BQ62" i="156" s="1"/>
  <c r="BT62" i="156" s="1"/>
  <c r="BW62" i="156" s="1"/>
  <c r="BZ62" i="156" s="1"/>
  <c r="CC62" i="156" s="1"/>
  <c r="CF62" i="156" s="1"/>
  <c r="CI62" i="156" s="1"/>
  <c r="CL62" i="156" s="1"/>
  <c r="CO62" i="156" s="1"/>
  <c r="CR62" i="156" s="1"/>
  <c r="CU62" i="156" s="1"/>
  <c r="CW61" i="156"/>
  <c r="CV61" i="156"/>
  <c r="I61" i="156"/>
  <c r="L61" i="156" s="1"/>
  <c r="O61" i="156" s="1"/>
  <c r="R61" i="156" s="1"/>
  <c r="U61" i="156" s="1"/>
  <c r="X61" i="156" s="1"/>
  <c r="AA61" i="156" s="1"/>
  <c r="AD61" i="156" s="1"/>
  <c r="AG61" i="156" s="1"/>
  <c r="AJ61" i="156" s="1"/>
  <c r="AM61" i="156" s="1"/>
  <c r="AP61" i="156" s="1"/>
  <c r="AS61" i="156" s="1"/>
  <c r="AV61" i="156" s="1"/>
  <c r="AY61" i="156" s="1"/>
  <c r="BB61" i="156" s="1"/>
  <c r="BE61" i="156" s="1"/>
  <c r="BH61" i="156" s="1"/>
  <c r="BK61" i="156" s="1"/>
  <c r="BN61" i="156" s="1"/>
  <c r="BQ61" i="156" s="1"/>
  <c r="BT61" i="156" s="1"/>
  <c r="BW61" i="156" s="1"/>
  <c r="BZ61" i="156" s="1"/>
  <c r="CC61" i="156" s="1"/>
  <c r="CF61" i="156" s="1"/>
  <c r="CI61" i="156" s="1"/>
  <c r="CL61" i="156" s="1"/>
  <c r="CO61" i="156" s="1"/>
  <c r="CR61" i="156" s="1"/>
  <c r="CU61" i="156" s="1"/>
  <c r="CV60" i="156"/>
  <c r="I60" i="156"/>
  <c r="CW59" i="156"/>
  <c r="CV59" i="156"/>
  <c r="I59" i="156"/>
  <c r="L59" i="156" s="1"/>
  <c r="O59" i="156" s="1"/>
  <c r="R59" i="156" s="1"/>
  <c r="U59" i="156" s="1"/>
  <c r="X59" i="156" s="1"/>
  <c r="AA59" i="156" s="1"/>
  <c r="AD59" i="156" s="1"/>
  <c r="AG59" i="156" s="1"/>
  <c r="AJ59" i="156" s="1"/>
  <c r="AM59" i="156" s="1"/>
  <c r="AP59" i="156" s="1"/>
  <c r="CV58" i="156"/>
  <c r="I58" i="156"/>
  <c r="CW57" i="156"/>
  <c r="CV57" i="156"/>
  <c r="I57" i="156"/>
  <c r="L57" i="156" s="1"/>
  <c r="O57" i="156" s="1"/>
  <c r="R57" i="156" s="1"/>
  <c r="U57" i="156" s="1"/>
  <c r="X57" i="156" s="1"/>
  <c r="AA57" i="156" s="1"/>
  <c r="AD57" i="156" s="1"/>
  <c r="AG57" i="156" s="1"/>
  <c r="AJ57" i="156" s="1"/>
  <c r="AM57" i="156" s="1"/>
  <c r="AP57" i="156" s="1"/>
  <c r="AS57" i="156" s="1"/>
  <c r="AV57" i="156" s="1"/>
  <c r="AY57" i="156" s="1"/>
  <c r="BB57" i="156" s="1"/>
  <c r="BE57" i="156" s="1"/>
  <c r="BH57" i="156" s="1"/>
  <c r="BK57" i="156" s="1"/>
  <c r="BN57" i="156" s="1"/>
  <c r="BQ57" i="156" s="1"/>
  <c r="BT57" i="156" s="1"/>
  <c r="BW57" i="156" s="1"/>
  <c r="BZ57" i="156" s="1"/>
  <c r="CC57" i="156" s="1"/>
  <c r="CF57" i="156" s="1"/>
  <c r="CI57" i="156" s="1"/>
  <c r="CL57" i="156" s="1"/>
  <c r="CO57" i="156" s="1"/>
  <c r="CR57" i="156" s="1"/>
  <c r="CU57" i="156" s="1"/>
  <c r="CW56" i="156"/>
  <c r="CV56" i="156"/>
  <c r="I56" i="156"/>
  <c r="L56" i="156" s="1"/>
  <c r="O56" i="156" s="1"/>
  <c r="R56" i="156" s="1"/>
  <c r="U56" i="156" s="1"/>
  <c r="X56" i="156" s="1"/>
  <c r="AA56" i="156" s="1"/>
  <c r="AD56" i="156" s="1"/>
  <c r="AG56" i="156" s="1"/>
  <c r="AJ56" i="156" s="1"/>
  <c r="AM56" i="156" s="1"/>
  <c r="AP56" i="156" s="1"/>
  <c r="AS56" i="156" s="1"/>
  <c r="AV56" i="156" s="1"/>
  <c r="AY56" i="156" s="1"/>
  <c r="BB56" i="156" s="1"/>
  <c r="BE56" i="156" s="1"/>
  <c r="BH56" i="156" s="1"/>
  <c r="BK56" i="156" s="1"/>
  <c r="BN56" i="156" s="1"/>
  <c r="BQ56" i="156" s="1"/>
  <c r="BT56" i="156" s="1"/>
  <c r="BW56" i="156" s="1"/>
  <c r="BZ56" i="156" s="1"/>
  <c r="CC56" i="156" s="1"/>
  <c r="CF56" i="156" s="1"/>
  <c r="CI56" i="156" s="1"/>
  <c r="CL56" i="156" s="1"/>
  <c r="CO56" i="156" s="1"/>
  <c r="CR56" i="156" s="1"/>
  <c r="CU56" i="156" s="1"/>
  <c r="CX56" i="156" s="1"/>
  <c r="CZ56" i="156" s="1"/>
  <c r="CV55" i="156"/>
  <c r="CW55" i="156"/>
  <c r="I55" i="156"/>
  <c r="L55" i="156" s="1"/>
  <c r="O55" i="156" s="1"/>
  <c r="R55" i="156" s="1"/>
  <c r="U55" i="156" s="1"/>
  <c r="X55" i="156" s="1"/>
  <c r="AA55" i="156" s="1"/>
  <c r="AD55" i="156" s="1"/>
  <c r="AG55" i="156" s="1"/>
  <c r="AJ55" i="156" s="1"/>
  <c r="AM55" i="156" s="1"/>
  <c r="AP55" i="156" s="1"/>
  <c r="AS55" i="156" s="1"/>
  <c r="AV55" i="156" s="1"/>
  <c r="AY55" i="156" s="1"/>
  <c r="BB55" i="156" s="1"/>
  <c r="BE55" i="156" s="1"/>
  <c r="BH55" i="156" s="1"/>
  <c r="BK55" i="156" s="1"/>
  <c r="BN55" i="156" s="1"/>
  <c r="BQ55" i="156" s="1"/>
  <c r="BT55" i="156" s="1"/>
  <c r="BW55" i="156" s="1"/>
  <c r="BZ55" i="156" s="1"/>
  <c r="CC55" i="156" s="1"/>
  <c r="CF55" i="156" s="1"/>
  <c r="CI55" i="156" s="1"/>
  <c r="CL55" i="156" s="1"/>
  <c r="CO55" i="156" s="1"/>
  <c r="CR55" i="156" s="1"/>
  <c r="CU55" i="156" s="1"/>
  <c r="CW54" i="156"/>
  <c r="CV54" i="156"/>
  <c r="I54" i="156"/>
  <c r="L54" i="156" s="1"/>
  <c r="O54" i="156" s="1"/>
  <c r="R54" i="156" s="1"/>
  <c r="U54" i="156" s="1"/>
  <c r="X54" i="156" s="1"/>
  <c r="AA54" i="156" s="1"/>
  <c r="AD54" i="156" s="1"/>
  <c r="AG54" i="156" s="1"/>
  <c r="AJ54" i="156" s="1"/>
  <c r="AM54" i="156" s="1"/>
  <c r="AP54" i="156" s="1"/>
  <c r="AS54" i="156" s="1"/>
  <c r="AV54" i="156" s="1"/>
  <c r="AY54" i="156" s="1"/>
  <c r="BB54" i="156" s="1"/>
  <c r="BE54" i="156" s="1"/>
  <c r="BH54" i="156" s="1"/>
  <c r="BK54" i="156" s="1"/>
  <c r="BN54" i="156" s="1"/>
  <c r="BQ54" i="156" s="1"/>
  <c r="BT54" i="156" s="1"/>
  <c r="BW54" i="156" s="1"/>
  <c r="BZ54" i="156" s="1"/>
  <c r="CC54" i="156" s="1"/>
  <c r="CF54" i="156" s="1"/>
  <c r="CI54" i="156" s="1"/>
  <c r="CL54" i="156" s="1"/>
  <c r="CO54" i="156" s="1"/>
  <c r="CR54" i="156" s="1"/>
  <c r="CU54" i="156" s="1"/>
  <c r="CV53" i="156"/>
  <c r="I53" i="156"/>
  <c r="L53" i="156" s="1"/>
  <c r="O53" i="156" s="1"/>
  <c r="R53" i="156" s="1"/>
  <c r="U53" i="156" s="1"/>
  <c r="X53" i="156" s="1"/>
  <c r="AA53" i="156" s="1"/>
  <c r="AD53" i="156" s="1"/>
  <c r="AG53" i="156" s="1"/>
  <c r="AJ53" i="156" s="1"/>
  <c r="AM53" i="156" s="1"/>
  <c r="AP53" i="156" s="1"/>
  <c r="AS53" i="156" s="1"/>
  <c r="AV53" i="156" s="1"/>
  <c r="AY53" i="156" s="1"/>
  <c r="BB53" i="156" s="1"/>
  <c r="BE53" i="156" s="1"/>
  <c r="BH53" i="156" s="1"/>
  <c r="BK53" i="156" s="1"/>
  <c r="BN53" i="156" s="1"/>
  <c r="BQ53" i="156" s="1"/>
  <c r="BT53" i="156" s="1"/>
  <c r="BW53" i="156" s="1"/>
  <c r="BZ53" i="156" s="1"/>
  <c r="CC53" i="156" s="1"/>
  <c r="CF53" i="156" s="1"/>
  <c r="CI53" i="156" s="1"/>
  <c r="CL53" i="156" s="1"/>
  <c r="CO53" i="156" s="1"/>
  <c r="CR53" i="156" s="1"/>
  <c r="CU53" i="156" s="1"/>
  <c r="CW52" i="156"/>
  <c r="CV52" i="156"/>
  <c r="I52" i="156"/>
  <c r="L52" i="156" s="1"/>
  <c r="O52" i="156" s="1"/>
  <c r="R52" i="156" s="1"/>
  <c r="U52" i="156" s="1"/>
  <c r="X52" i="156" s="1"/>
  <c r="AA52" i="156" s="1"/>
  <c r="AD52" i="156" s="1"/>
  <c r="AG52" i="156" s="1"/>
  <c r="AJ52" i="156" s="1"/>
  <c r="AM52" i="156" s="1"/>
  <c r="AP52" i="156" s="1"/>
  <c r="AS52" i="156" s="1"/>
  <c r="AV52" i="156" s="1"/>
  <c r="AY52" i="156" s="1"/>
  <c r="BB52" i="156" s="1"/>
  <c r="BE52" i="156" s="1"/>
  <c r="BH52" i="156" s="1"/>
  <c r="BK52" i="156" s="1"/>
  <c r="BN52" i="156" s="1"/>
  <c r="BQ52" i="156" s="1"/>
  <c r="BT52" i="156" s="1"/>
  <c r="BW52" i="156" s="1"/>
  <c r="BZ52" i="156" s="1"/>
  <c r="CC52" i="156" s="1"/>
  <c r="CF52" i="156" s="1"/>
  <c r="CI52" i="156" s="1"/>
  <c r="CL52" i="156" s="1"/>
  <c r="CO52" i="156" s="1"/>
  <c r="CR52" i="156" s="1"/>
  <c r="CU52" i="156" s="1"/>
  <c r="CW51" i="156"/>
  <c r="CV51" i="156"/>
  <c r="I51" i="156"/>
  <c r="L51" i="156" s="1"/>
  <c r="O51" i="156" s="1"/>
  <c r="R51" i="156" s="1"/>
  <c r="U51" i="156" s="1"/>
  <c r="X51" i="156" s="1"/>
  <c r="AA51" i="156" s="1"/>
  <c r="AD51" i="156" s="1"/>
  <c r="AG51" i="156" s="1"/>
  <c r="AJ51" i="156" s="1"/>
  <c r="AM51" i="156" s="1"/>
  <c r="AP51" i="156" s="1"/>
  <c r="AS51" i="156" s="1"/>
  <c r="AV51" i="156" s="1"/>
  <c r="AY51" i="156" s="1"/>
  <c r="BB51" i="156" s="1"/>
  <c r="BE51" i="156" s="1"/>
  <c r="BH51" i="156" s="1"/>
  <c r="BK51" i="156" s="1"/>
  <c r="BN51" i="156" s="1"/>
  <c r="BQ51" i="156" s="1"/>
  <c r="BT51" i="156" s="1"/>
  <c r="BW51" i="156" s="1"/>
  <c r="BZ51" i="156" s="1"/>
  <c r="CC51" i="156" s="1"/>
  <c r="CF51" i="156" s="1"/>
  <c r="CI51" i="156" s="1"/>
  <c r="CL51" i="156" s="1"/>
  <c r="CO51" i="156" s="1"/>
  <c r="CR51" i="156" s="1"/>
  <c r="CU51" i="156" s="1"/>
  <c r="CW50" i="156"/>
  <c r="CV50" i="156"/>
  <c r="I50" i="156"/>
  <c r="L50" i="156" s="1"/>
  <c r="O50" i="156" s="1"/>
  <c r="R50" i="156" s="1"/>
  <c r="U50" i="156" s="1"/>
  <c r="X50" i="156" s="1"/>
  <c r="AA50" i="156" s="1"/>
  <c r="AD50" i="156" s="1"/>
  <c r="AG50" i="156" s="1"/>
  <c r="AJ50" i="156" s="1"/>
  <c r="AM50" i="156" s="1"/>
  <c r="AP50" i="156" s="1"/>
  <c r="AS50" i="156" s="1"/>
  <c r="AV50" i="156" s="1"/>
  <c r="AY50" i="156" s="1"/>
  <c r="BB50" i="156" s="1"/>
  <c r="BE50" i="156" s="1"/>
  <c r="BH50" i="156" s="1"/>
  <c r="BK50" i="156" s="1"/>
  <c r="BN50" i="156" s="1"/>
  <c r="BQ50" i="156" s="1"/>
  <c r="BT50" i="156" s="1"/>
  <c r="BW50" i="156" s="1"/>
  <c r="BZ50" i="156" s="1"/>
  <c r="CC50" i="156" s="1"/>
  <c r="CF50" i="156" s="1"/>
  <c r="CI50" i="156" s="1"/>
  <c r="CL50" i="156" s="1"/>
  <c r="CO50" i="156" s="1"/>
  <c r="CR50" i="156" s="1"/>
  <c r="CU50" i="156" s="1"/>
  <c r="CV49" i="156"/>
  <c r="CW49" i="156"/>
  <c r="I49" i="156"/>
  <c r="L49" i="156" s="1"/>
  <c r="O49" i="156" s="1"/>
  <c r="R49" i="156" s="1"/>
  <c r="U49" i="156" s="1"/>
  <c r="X49" i="156" s="1"/>
  <c r="AA49" i="156" s="1"/>
  <c r="AD49" i="156" s="1"/>
  <c r="AG49" i="156" s="1"/>
  <c r="AJ49" i="156" s="1"/>
  <c r="AM49" i="156" s="1"/>
  <c r="AP49" i="156" s="1"/>
  <c r="AS49" i="156" s="1"/>
  <c r="AV49" i="156" s="1"/>
  <c r="AY49" i="156" s="1"/>
  <c r="BB49" i="156" s="1"/>
  <c r="BE49" i="156" s="1"/>
  <c r="BH49" i="156" s="1"/>
  <c r="BK49" i="156" s="1"/>
  <c r="BN49" i="156" s="1"/>
  <c r="BQ49" i="156" s="1"/>
  <c r="BT49" i="156" s="1"/>
  <c r="BW49" i="156" s="1"/>
  <c r="BZ49" i="156" s="1"/>
  <c r="CC49" i="156" s="1"/>
  <c r="CF49" i="156" s="1"/>
  <c r="CI49" i="156" s="1"/>
  <c r="CL49" i="156" s="1"/>
  <c r="CO49" i="156" s="1"/>
  <c r="CR49" i="156" s="1"/>
  <c r="CU49" i="156" s="1"/>
  <c r="CV48" i="156"/>
  <c r="CV47" i="156"/>
  <c r="I47" i="156"/>
  <c r="CW46" i="156"/>
  <c r="CV46" i="156"/>
  <c r="I46" i="156"/>
  <c r="L46" i="156" s="1"/>
  <c r="O46" i="156" s="1"/>
  <c r="R46" i="156" s="1"/>
  <c r="U46" i="156" s="1"/>
  <c r="X46" i="156" s="1"/>
  <c r="AA46" i="156" s="1"/>
  <c r="AD46" i="156" s="1"/>
  <c r="AG46" i="156" s="1"/>
  <c r="AJ46" i="156" s="1"/>
  <c r="AM46" i="156" s="1"/>
  <c r="AP46" i="156" s="1"/>
  <c r="AS46" i="156" s="1"/>
  <c r="AV46" i="156" s="1"/>
  <c r="AY46" i="156" s="1"/>
  <c r="BB46" i="156" s="1"/>
  <c r="BE46" i="156" s="1"/>
  <c r="BH46" i="156" s="1"/>
  <c r="BK46" i="156" s="1"/>
  <c r="BN46" i="156" s="1"/>
  <c r="BQ46" i="156" s="1"/>
  <c r="BT46" i="156" s="1"/>
  <c r="BW46" i="156" s="1"/>
  <c r="BZ46" i="156" s="1"/>
  <c r="CC46" i="156" s="1"/>
  <c r="CF46" i="156" s="1"/>
  <c r="CI46" i="156" s="1"/>
  <c r="CL46" i="156" s="1"/>
  <c r="CO46" i="156" s="1"/>
  <c r="CR46" i="156" s="1"/>
  <c r="CU46" i="156" s="1"/>
  <c r="CV45" i="156"/>
  <c r="I45" i="156"/>
  <c r="L45" i="156" s="1"/>
  <c r="O45" i="156" s="1"/>
  <c r="R45" i="156" s="1"/>
  <c r="U45" i="156" s="1"/>
  <c r="X45" i="156" s="1"/>
  <c r="AA45" i="156" s="1"/>
  <c r="AD45" i="156" s="1"/>
  <c r="AG45" i="156" s="1"/>
  <c r="AJ45" i="156" s="1"/>
  <c r="AM45" i="156" s="1"/>
  <c r="AP45" i="156" s="1"/>
  <c r="AS45" i="156" s="1"/>
  <c r="AV45" i="156" s="1"/>
  <c r="AY45" i="156" s="1"/>
  <c r="BB45" i="156" s="1"/>
  <c r="BE45" i="156" s="1"/>
  <c r="BH45" i="156" s="1"/>
  <c r="BK45" i="156" s="1"/>
  <c r="BN45" i="156" s="1"/>
  <c r="BQ45" i="156" s="1"/>
  <c r="BT45" i="156" s="1"/>
  <c r="BW45" i="156" s="1"/>
  <c r="BZ45" i="156" s="1"/>
  <c r="CC45" i="156" s="1"/>
  <c r="CF45" i="156" s="1"/>
  <c r="CI45" i="156" s="1"/>
  <c r="CL45" i="156" s="1"/>
  <c r="CO45" i="156" s="1"/>
  <c r="CR45" i="156" s="1"/>
  <c r="CU45" i="156" s="1"/>
  <c r="CW44" i="156"/>
  <c r="CV44" i="156"/>
  <c r="I44" i="156"/>
  <c r="L44" i="156" s="1"/>
  <c r="O44" i="156" s="1"/>
  <c r="R44" i="156" s="1"/>
  <c r="U44" i="156" s="1"/>
  <c r="X44" i="156" s="1"/>
  <c r="AA44" i="156" s="1"/>
  <c r="AD44" i="156" s="1"/>
  <c r="AG44" i="156" s="1"/>
  <c r="AJ44" i="156" s="1"/>
  <c r="AM44" i="156" s="1"/>
  <c r="AP44" i="156" s="1"/>
  <c r="AS44" i="156" s="1"/>
  <c r="AV44" i="156" s="1"/>
  <c r="AY44" i="156" s="1"/>
  <c r="BB44" i="156" s="1"/>
  <c r="BE44" i="156" s="1"/>
  <c r="BH44" i="156" s="1"/>
  <c r="BK44" i="156" s="1"/>
  <c r="BN44" i="156" s="1"/>
  <c r="BQ44" i="156" s="1"/>
  <c r="BT44" i="156" s="1"/>
  <c r="BW44" i="156" s="1"/>
  <c r="BZ44" i="156" s="1"/>
  <c r="CC44" i="156" s="1"/>
  <c r="CF44" i="156" s="1"/>
  <c r="CI44" i="156" s="1"/>
  <c r="CL44" i="156" s="1"/>
  <c r="CO44" i="156" s="1"/>
  <c r="CR44" i="156" s="1"/>
  <c r="CU44" i="156" s="1"/>
  <c r="CV43" i="156"/>
  <c r="CW43" i="156"/>
  <c r="I43" i="156"/>
  <c r="L43" i="156" s="1"/>
  <c r="O43" i="156" s="1"/>
  <c r="R43" i="156" s="1"/>
  <c r="U43" i="156" s="1"/>
  <c r="X43" i="156" s="1"/>
  <c r="AA43" i="156" s="1"/>
  <c r="AD43" i="156" s="1"/>
  <c r="AG43" i="156" s="1"/>
  <c r="AJ43" i="156" s="1"/>
  <c r="AM43" i="156" s="1"/>
  <c r="AP43" i="156" s="1"/>
  <c r="AS43" i="156" s="1"/>
  <c r="AV43" i="156" s="1"/>
  <c r="AY43" i="156" s="1"/>
  <c r="BB43" i="156" s="1"/>
  <c r="BE43" i="156" s="1"/>
  <c r="BH43" i="156" s="1"/>
  <c r="BK43" i="156" s="1"/>
  <c r="BN43" i="156" s="1"/>
  <c r="BQ43" i="156" s="1"/>
  <c r="BT43" i="156" s="1"/>
  <c r="BW43" i="156" s="1"/>
  <c r="BZ43" i="156" s="1"/>
  <c r="CC43" i="156" s="1"/>
  <c r="CF43" i="156" s="1"/>
  <c r="CI43" i="156" s="1"/>
  <c r="CL43" i="156" s="1"/>
  <c r="CO43" i="156" s="1"/>
  <c r="CR43" i="156" s="1"/>
  <c r="CU43" i="156" s="1"/>
  <c r="CW42" i="156"/>
  <c r="CV42" i="156"/>
  <c r="I42" i="156"/>
  <c r="L42" i="156" s="1"/>
  <c r="O42" i="156" s="1"/>
  <c r="R42" i="156" s="1"/>
  <c r="U42" i="156" s="1"/>
  <c r="X42" i="156" s="1"/>
  <c r="AA42" i="156" s="1"/>
  <c r="AD42" i="156" s="1"/>
  <c r="AG42" i="156" s="1"/>
  <c r="AJ42" i="156" s="1"/>
  <c r="AM42" i="156" s="1"/>
  <c r="AP42" i="156" s="1"/>
  <c r="AS42" i="156" s="1"/>
  <c r="AV42" i="156" s="1"/>
  <c r="AY42" i="156" s="1"/>
  <c r="BB42" i="156" s="1"/>
  <c r="BE42" i="156" s="1"/>
  <c r="BH42" i="156" s="1"/>
  <c r="BK42" i="156" s="1"/>
  <c r="BN42" i="156" s="1"/>
  <c r="BQ42" i="156" s="1"/>
  <c r="BT42" i="156" s="1"/>
  <c r="BW42" i="156" s="1"/>
  <c r="BZ42" i="156" s="1"/>
  <c r="CC42" i="156" s="1"/>
  <c r="CF42" i="156" s="1"/>
  <c r="CI42" i="156" s="1"/>
  <c r="CL42" i="156" s="1"/>
  <c r="CO42" i="156" s="1"/>
  <c r="CR42" i="156" s="1"/>
  <c r="CU42" i="156" s="1"/>
  <c r="CW41" i="156"/>
  <c r="CV41" i="156"/>
  <c r="I41" i="156"/>
  <c r="L41" i="156" s="1"/>
  <c r="O41" i="156" s="1"/>
  <c r="R41" i="156" s="1"/>
  <c r="U41" i="156" s="1"/>
  <c r="X41" i="156" s="1"/>
  <c r="AA41" i="156" s="1"/>
  <c r="AD41" i="156" s="1"/>
  <c r="AG41" i="156" s="1"/>
  <c r="AJ41" i="156" s="1"/>
  <c r="AM41" i="156" s="1"/>
  <c r="AP41" i="156" s="1"/>
  <c r="AS41" i="156" s="1"/>
  <c r="AV41" i="156" s="1"/>
  <c r="AY41" i="156" s="1"/>
  <c r="BB41" i="156" s="1"/>
  <c r="BE41" i="156" s="1"/>
  <c r="BH41" i="156" s="1"/>
  <c r="BK41" i="156" s="1"/>
  <c r="BN41" i="156" s="1"/>
  <c r="BQ41" i="156" s="1"/>
  <c r="BT41" i="156" s="1"/>
  <c r="BW41" i="156" s="1"/>
  <c r="BZ41" i="156" s="1"/>
  <c r="CC41" i="156" s="1"/>
  <c r="CF41" i="156" s="1"/>
  <c r="CI41" i="156" s="1"/>
  <c r="CL41" i="156" s="1"/>
  <c r="CO41" i="156" s="1"/>
  <c r="CR41" i="156" s="1"/>
  <c r="CU41" i="156" s="1"/>
  <c r="CV40" i="156"/>
  <c r="I40" i="156"/>
  <c r="I39" i="156"/>
  <c r="CW38" i="156"/>
  <c r="CV38" i="156"/>
  <c r="I38" i="156"/>
  <c r="L38" i="156" s="1"/>
  <c r="O38" i="156" s="1"/>
  <c r="R38" i="156" s="1"/>
  <c r="U38" i="156" s="1"/>
  <c r="X38" i="156" s="1"/>
  <c r="AA38" i="156" s="1"/>
  <c r="AD38" i="156" s="1"/>
  <c r="AG38" i="156" s="1"/>
  <c r="AJ38" i="156" s="1"/>
  <c r="AM38" i="156" s="1"/>
  <c r="AP38" i="156" s="1"/>
  <c r="AS38" i="156" s="1"/>
  <c r="AV38" i="156" s="1"/>
  <c r="AY38" i="156" s="1"/>
  <c r="BB38" i="156" s="1"/>
  <c r="BE38" i="156" s="1"/>
  <c r="BH38" i="156" s="1"/>
  <c r="BK38" i="156" s="1"/>
  <c r="BN38" i="156" s="1"/>
  <c r="BQ38" i="156" s="1"/>
  <c r="BT38" i="156" s="1"/>
  <c r="BW38" i="156" s="1"/>
  <c r="BZ38" i="156" s="1"/>
  <c r="CC38" i="156" s="1"/>
  <c r="CF38" i="156" s="1"/>
  <c r="CI38" i="156" s="1"/>
  <c r="CL38" i="156" s="1"/>
  <c r="CO38" i="156" s="1"/>
  <c r="CR38" i="156" s="1"/>
  <c r="CU38" i="156" s="1"/>
  <c r="CW37" i="156"/>
  <c r="CV37" i="156"/>
  <c r="I37" i="156"/>
  <c r="L37" i="156" s="1"/>
  <c r="O37" i="156" s="1"/>
  <c r="R37" i="156" s="1"/>
  <c r="U37" i="156" s="1"/>
  <c r="X37" i="156" s="1"/>
  <c r="AA37" i="156" s="1"/>
  <c r="AD37" i="156" s="1"/>
  <c r="AG37" i="156" s="1"/>
  <c r="AJ37" i="156" s="1"/>
  <c r="AM37" i="156" s="1"/>
  <c r="AP37" i="156" s="1"/>
  <c r="AS37" i="156" s="1"/>
  <c r="AV37" i="156" s="1"/>
  <c r="AY37" i="156" s="1"/>
  <c r="BB37" i="156" s="1"/>
  <c r="BE37" i="156" s="1"/>
  <c r="BH37" i="156" s="1"/>
  <c r="BK37" i="156" s="1"/>
  <c r="BN37" i="156" s="1"/>
  <c r="BQ37" i="156" s="1"/>
  <c r="BT37" i="156" s="1"/>
  <c r="BW37" i="156" s="1"/>
  <c r="BZ37" i="156" s="1"/>
  <c r="CC37" i="156" s="1"/>
  <c r="CF37" i="156" s="1"/>
  <c r="CI37" i="156" s="1"/>
  <c r="CL37" i="156" s="1"/>
  <c r="CO37" i="156" s="1"/>
  <c r="CR37" i="156" s="1"/>
  <c r="CU37" i="156" s="1"/>
  <c r="CW35" i="156"/>
  <c r="CV35" i="156"/>
  <c r="I35" i="156"/>
  <c r="L35" i="156" s="1"/>
  <c r="O35" i="156" s="1"/>
  <c r="R35" i="156" s="1"/>
  <c r="U35" i="156" s="1"/>
  <c r="X35" i="156" s="1"/>
  <c r="AA35" i="156" s="1"/>
  <c r="AD35" i="156" s="1"/>
  <c r="AG35" i="156" s="1"/>
  <c r="AJ35" i="156" s="1"/>
  <c r="AM35" i="156" s="1"/>
  <c r="AP35" i="156" s="1"/>
  <c r="AS35" i="156" s="1"/>
  <c r="AV35" i="156" s="1"/>
  <c r="AY35" i="156" s="1"/>
  <c r="BB35" i="156" s="1"/>
  <c r="BE35" i="156" s="1"/>
  <c r="BH35" i="156" s="1"/>
  <c r="BK35" i="156" s="1"/>
  <c r="BN35" i="156" s="1"/>
  <c r="BQ35" i="156" s="1"/>
  <c r="BT35" i="156" s="1"/>
  <c r="BW35" i="156" s="1"/>
  <c r="BZ35" i="156" s="1"/>
  <c r="CC35" i="156" s="1"/>
  <c r="CF35" i="156" s="1"/>
  <c r="CI35" i="156" s="1"/>
  <c r="CL35" i="156" s="1"/>
  <c r="CO35" i="156" s="1"/>
  <c r="CR35" i="156" s="1"/>
  <c r="CU35" i="156" s="1"/>
  <c r="CW34" i="156"/>
  <c r="CV34" i="156"/>
  <c r="I34" i="156"/>
  <c r="L34" i="156" s="1"/>
  <c r="O34" i="156" s="1"/>
  <c r="R34" i="156" s="1"/>
  <c r="U34" i="156" s="1"/>
  <c r="X34" i="156" s="1"/>
  <c r="AA34" i="156" s="1"/>
  <c r="AD34" i="156" s="1"/>
  <c r="AG34" i="156" s="1"/>
  <c r="AJ34" i="156" s="1"/>
  <c r="AM34" i="156" s="1"/>
  <c r="AP34" i="156" s="1"/>
  <c r="AS34" i="156" s="1"/>
  <c r="AV34" i="156" s="1"/>
  <c r="AY34" i="156" s="1"/>
  <c r="BB34" i="156" s="1"/>
  <c r="BE34" i="156" s="1"/>
  <c r="BH34" i="156" s="1"/>
  <c r="BK34" i="156" s="1"/>
  <c r="BN34" i="156" s="1"/>
  <c r="BQ34" i="156" s="1"/>
  <c r="BT34" i="156" s="1"/>
  <c r="BW34" i="156" s="1"/>
  <c r="BZ34" i="156" s="1"/>
  <c r="CC34" i="156" s="1"/>
  <c r="CF34" i="156" s="1"/>
  <c r="CI34" i="156" s="1"/>
  <c r="CL34" i="156" s="1"/>
  <c r="CO34" i="156" s="1"/>
  <c r="CR34" i="156" s="1"/>
  <c r="CU34" i="156" s="1"/>
  <c r="CW33" i="156"/>
  <c r="CV33" i="156"/>
  <c r="I33" i="156"/>
  <c r="L33" i="156" s="1"/>
  <c r="O33" i="156" s="1"/>
  <c r="R33" i="156" s="1"/>
  <c r="U33" i="156" s="1"/>
  <c r="X33" i="156" s="1"/>
  <c r="AA33" i="156" s="1"/>
  <c r="AD33" i="156" s="1"/>
  <c r="AG33" i="156" s="1"/>
  <c r="AJ33" i="156" s="1"/>
  <c r="AM33" i="156" s="1"/>
  <c r="AP33" i="156" s="1"/>
  <c r="AS33" i="156" s="1"/>
  <c r="AV33" i="156" s="1"/>
  <c r="AY33" i="156" s="1"/>
  <c r="BB33" i="156" s="1"/>
  <c r="BE33" i="156" s="1"/>
  <c r="BH33" i="156" s="1"/>
  <c r="BK33" i="156" s="1"/>
  <c r="BN33" i="156" s="1"/>
  <c r="BQ33" i="156" s="1"/>
  <c r="BT33" i="156" s="1"/>
  <c r="BW33" i="156" s="1"/>
  <c r="BZ33" i="156" s="1"/>
  <c r="CC33" i="156" s="1"/>
  <c r="CF33" i="156" s="1"/>
  <c r="CI33" i="156" s="1"/>
  <c r="CL33" i="156" s="1"/>
  <c r="CO33" i="156" s="1"/>
  <c r="CR33" i="156" s="1"/>
  <c r="CU33" i="156" s="1"/>
  <c r="I32" i="156"/>
  <c r="L32" i="156" s="1"/>
  <c r="O32" i="156" s="1"/>
  <c r="R32" i="156" s="1"/>
  <c r="U32" i="156" s="1"/>
  <c r="X32" i="156" s="1"/>
  <c r="AA32" i="156" s="1"/>
  <c r="AD32" i="156" s="1"/>
  <c r="AG32" i="156" s="1"/>
  <c r="AJ32" i="156" s="1"/>
  <c r="AM32" i="156" s="1"/>
  <c r="AP32" i="156" s="1"/>
  <c r="AS32" i="156" s="1"/>
  <c r="AV32" i="156" s="1"/>
  <c r="AY32" i="156" s="1"/>
  <c r="BB32" i="156" s="1"/>
  <c r="BE32" i="156" s="1"/>
  <c r="BH32" i="156" s="1"/>
  <c r="BK32" i="156" s="1"/>
  <c r="BN32" i="156" s="1"/>
  <c r="BQ32" i="156" s="1"/>
  <c r="BT32" i="156" s="1"/>
  <c r="BW32" i="156" s="1"/>
  <c r="BZ32" i="156" s="1"/>
  <c r="CC32" i="156" s="1"/>
  <c r="CF32" i="156" s="1"/>
  <c r="CI32" i="156" s="1"/>
  <c r="CL32" i="156" s="1"/>
  <c r="CO32" i="156" s="1"/>
  <c r="CR32" i="156" s="1"/>
  <c r="CU32" i="156" s="1"/>
  <c r="CW32" i="156"/>
  <c r="CV32" i="156"/>
  <c r="CW31" i="156"/>
  <c r="CV31" i="156"/>
  <c r="I31" i="156"/>
  <c r="L31" i="156" s="1"/>
  <c r="O31" i="156" s="1"/>
  <c r="R31" i="156" s="1"/>
  <c r="U31" i="156" s="1"/>
  <c r="X31" i="156" s="1"/>
  <c r="AA31" i="156" s="1"/>
  <c r="AD31" i="156" s="1"/>
  <c r="AG31" i="156" s="1"/>
  <c r="AJ31" i="156" s="1"/>
  <c r="AM31" i="156" s="1"/>
  <c r="AP31" i="156" s="1"/>
  <c r="AS31" i="156" s="1"/>
  <c r="AV31" i="156" s="1"/>
  <c r="AY31" i="156" s="1"/>
  <c r="BB31" i="156" s="1"/>
  <c r="BE31" i="156" s="1"/>
  <c r="BH31" i="156" s="1"/>
  <c r="BK31" i="156" s="1"/>
  <c r="BN31" i="156" s="1"/>
  <c r="BQ31" i="156" s="1"/>
  <c r="BT31" i="156" s="1"/>
  <c r="BW31" i="156" s="1"/>
  <c r="BZ31" i="156" s="1"/>
  <c r="CC31" i="156" s="1"/>
  <c r="CF31" i="156" s="1"/>
  <c r="CI31" i="156" s="1"/>
  <c r="CL31" i="156" s="1"/>
  <c r="CO31" i="156" s="1"/>
  <c r="CR31" i="156" s="1"/>
  <c r="CU31" i="156" s="1"/>
  <c r="CW30" i="156"/>
  <c r="CV30" i="156"/>
  <c r="I30" i="156"/>
  <c r="L30" i="156" s="1"/>
  <c r="O30" i="156" s="1"/>
  <c r="R30" i="156" s="1"/>
  <c r="U30" i="156" s="1"/>
  <c r="X30" i="156" s="1"/>
  <c r="AA30" i="156" s="1"/>
  <c r="AD30" i="156" s="1"/>
  <c r="AG30" i="156" s="1"/>
  <c r="AJ30" i="156" s="1"/>
  <c r="AM30" i="156" s="1"/>
  <c r="AP30" i="156" s="1"/>
  <c r="AS30" i="156" s="1"/>
  <c r="AV30" i="156" s="1"/>
  <c r="AY30" i="156" s="1"/>
  <c r="BB30" i="156" s="1"/>
  <c r="BE30" i="156" s="1"/>
  <c r="BH30" i="156" s="1"/>
  <c r="BK30" i="156" s="1"/>
  <c r="BN30" i="156" s="1"/>
  <c r="BQ30" i="156" s="1"/>
  <c r="BT30" i="156" s="1"/>
  <c r="BW30" i="156" s="1"/>
  <c r="BZ30" i="156" s="1"/>
  <c r="CC30" i="156" s="1"/>
  <c r="CF30" i="156" s="1"/>
  <c r="CI30" i="156" s="1"/>
  <c r="CL30" i="156" s="1"/>
  <c r="CO30" i="156" s="1"/>
  <c r="CR30" i="156" s="1"/>
  <c r="CU30" i="156" s="1"/>
  <c r="CW29" i="156"/>
  <c r="CV28" i="156"/>
  <c r="CW28" i="156"/>
  <c r="I28" i="156"/>
  <c r="L28" i="156" s="1"/>
  <c r="O28" i="156" s="1"/>
  <c r="R28" i="156" s="1"/>
  <c r="U28" i="156" s="1"/>
  <c r="X28" i="156" s="1"/>
  <c r="AA28" i="156" s="1"/>
  <c r="AD28" i="156" s="1"/>
  <c r="AG28" i="156" s="1"/>
  <c r="AJ28" i="156" s="1"/>
  <c r="AM28" i="156" s="1"/>
  <c r="AP28" i="156" s="1"/>
  <c r="AS28" i="156" s="1"/>
  <c r="AV28" i="156" s="1"/>
  <c r="AY28" i="156" s="1"/>
  <c r="BB28" i="156" s="1"/>
  <c r="BE28" i="156" s="1"/>
  <c r="BH28" i="156" s="1"/>
  <c r="BK28" i="156" s="1"/>
  <c r="BN28" i="156" s="1"/>
  <c r="BQ28" i="156" s="1"/>
  <c r="BT28" i="156" s="1"/>
  <c r="BW28" i="156" s="1"/>
  <c r="BZ28" i="156" s="1"/>
  <c r="CC28" i="156" s="1"/>
  <c r="CF28" i="156" s="1"/>
  <c r="CI28" i="156" s="1"/>
  <c r="CL28" i="156" s="1"/>
  <c r="CO28" i="156" s="1"/>
  <c r="CR28" i="156" s="1"/>
  <c r="CU28" i="156" s="1"/>
  <c r="CV27" i="156"/>
  <c r="CW26" i="156"/>
  <c r="CV26" i="156"/>
  <c r="I26" i="156"/>
  <c r="L26" i="156" s="1"/>
  <c r="O26" i="156" s="1"/>
  <c r="CV25" i="156"/>
  <c r="CV24" i="156"/>
  <c r="CW24" i="156"/>
  <c r="I24" i="156"/>
  <c r="L24" i="156" s="1"/>
  <c r="O24" i="156" s="1"/>
  <c r="R24" i="156" s="1"/>
  <c r="U24" i="156" s="1"/>
  <c r="X24" i="156" s="1"/>
  <c r="AA24" i="156" s="1"/>
  <c r="AD24" i="156" s="1"/>
  <c r="AG24" i="156" s="1"/>
  <c r="AJ24" i="156" s="1"/>
  <c r="AM24" i="156" s="1"/>
  <c r="AP24" i="156" s="1"/>
  <c r="AS24" i="156" s="1"/>
  <c r="AV24" i="156" s="1"/>
  <c r="AY24" i="156" s="1"/>
  <c r="BB24" i="156" s="1"/>
  <c r="BE24" i="156" s="1"/>
  <c r="BH24" i="156" s="1"/>
  <c r="BK24" i="156" s="1"/>
  <c r="BN24" i="156" s="1"/>
  <c r="BQ24" i="156" s="1"/>
  <c r="BT24" i="156" s="1"/>
  <c r="BW24" i="156" s="1"/>
  <c r="BZ24" i="156" s="1"/>
  <c r="CC24" i="156" s="1"/>
  <c r="CF24" i="156" s="1"/>
  <c r="CI24" i="156" s="1"/>
  <c r="CL24" i="156" s="1"/>
  <c r="CO24" i="156" s="1"/>
  <c r="CR24" i="156" s="1"/>
  <c r="CU24" i="156" s="1"/>
  <c r="CV23" i="156"/>
  <c r="I23" i="156"/>
  <c r="L23" i="156" s="1"/>
  <c r="O23" i="156" s="1"/>
  <c r="R23" i="156" s="1"/>
  <c r="U23" i="156" s="1"/>
  <c r="X23" i="156" s="1"/>
  <c r="AA23" i="156" s="1"/>
  <c r="AD23" i="156" s="1"/>
  <c r="AG23" i="156" s="1"/>
  <c r="AJ23" i="156" s="1"/>
  <c r="AM23" i="156" s="1"/>
  <c r="AP23" i="156" s="1"/>
  <c r="AS23" i="156" s="1"/>
  <c r="AV23" i="156" s="1"/>
  <c r="AY23" i="156" s="1"/>
  <c r="BB23" i="156" s="1"/>
  <c r="BE23" i="156" s="1"/>
  <c r="BH23" i="156" s="1"/>
  <c r="BK23" i="156" s="1"/>
  <c r="BN23" i="156" s="1"/>
  <c r="BQ23" i="156" s="1"/>
  <c r="BT23" i="156" s="1"/>
  <c r="BW23" i="156" s="1"/>
  <c r="BZ23" i="156" s="1"/>
  <c r="CC23" i="156" s="1"/>
  <c r="CF23" i="156" s="1"/>
  <c r="CI23" i="156" s="1"/>
  <c r="CL23" i="156" s="1"/>
  <c r="CO23" i="156" s="1"/>
  <c r="CR23" i="156" s="1"/>
  <c r="CU23" i="156" s="1"/>
  <c r="CW21" i="156"/>
  <c r="CV21" i="156"/>
  <c r="I21" i="156"/>
  <c r="L21" i="156" s="1"/>
  <c r="O21" i="156" s="1"/>
  <c r="R21" i="156" s="1"/>
  <c r="U21" i="156" s="1"/>
  <c r="X21" i="156" s="1"/>
  <c r="AA21" i="156" s="1"/>
  <c r="AD21" i="156" s="1"/>
  <c r="AG21" i="156" s="1"/>
  <c r="AJ21" i="156" s="1"/>
  <c r="AM21" i="156" s="1"/>
  <c r="AP21" i="156" s="1"/>
  <c r="AS21" i="156" s="1"/>
  <c r="AV21" i="156" s="1"/>
  <c r="AY21" i="156" s="1"/>
  <c r="BB21" i="156" s="1"/>
  <c r="BE21" i="156" s="1"/>
  <c r="BH21" i="156" s="1"/>
  <c r="BK21" i="156" s="1"/>
  <c r="BN21" i="156" s="1"/>
  <c r="BQ21" i="156" s="1"/>
  <c r="BT21" i="156" s="1"/>
  <c r="BW21" i="156" s="1"/>
  <c r="BZ21" i="156" s="1"/>
  <c r="CC21" i="156" s="1"/>
  <c r="CF21" i="156" s="1"/>
  <c r="CI21" i="156" s="1"/>
  <c r="CL21" i="156" s="1"/>
  <c r="CO21" i="156" s="1"/>
  <c r="CR21" i="156" s="1"/>
  <c r="CU21" i="156" s="1"/>
  <c r="CW20" i="156"/>
  <c r="CV20" i="156"/>
  <c r="I20" i="156"/>
  <c r="L20" i="156" s="1"/>
  <c r="O20" i="156" s="1"/>
  <c r="R20" i="156" s="1"/>
  <c r="U20" i="156" s="1"/>
  <c r="X20" i="156" s="1"/>
  <c r="AA20" i="156" s="1"/>
  <c r="AD20" i="156" s="1"/>
  <c r="AG20" i="156" s="1"/>
  <c r="AJ20" i="156" s="1"/>
  <c r="AM20" i="156" s="1"/>
  <c r="AP20" i="156" s="1"/>
  <c r="AS20" i="156" s="1"/>
  <c r="AV20" i="156" s="1"/>
  <c r="AY20" i="156" s="1"/>
  <c r="BB20" i="156" s="1"/>
  <c r="BE20" i="156" s="1"/>
  <c r="BH20" i="156" s="1"/>
  <c r="BK20" i="156" s="1"/>
  <c r="BN20" i="156" s="1"/>
  <c r="BQ20" i="156" s="1"/>
  <c r="BT20" i="156" s="1"/>
  <c r="BW20" i="156" s="1"/>
  <c r="BZ20" i="156" s="1"/>
  <c r="CC20" i="156" s="1"/>
  <c r="CF20" i="156" s="1"/>
  <c r="CI20" i="156" s="1"/>
  <c r="CL20" i="156" s="1"/>
  <c r="CO20" i="156" s="1"/>
  <c r="CR20" i="156" s="1"/>
  <c r="CU20" i="156" s="1"/>
  <c r="CV19" i="156"/>
  <c r="CW19" i="156"/>
  <c r="I19" i="156"/>
  <c r="L19" i="156" s="1"/>
  <c r="O19" i="156" s="1"/>
  <c r="R19" i="156" s="1"/>
  <c r="U19" i="156" s="1"/>
  <c r="X19" i="156" s="1"/>
  <c r="AA19" i="156" s="1"/>
  <c r="AD19" i="156" s="1"/>
  <c r="AG19" i="156" s="1"/>
  <c r="AJ19" i="156" s="1"/>
  <c r="AM19" i="156" s="1"/>
  <c r="AP19" i="156" s="1"/>
  <c r="AS19" i="156" s="1"/>
  <c r="AV19" i="156" s="1"/>
  <c r="AY19" i="156" s="1"/>
  <c r="BB19" i="156" s="1"/>
  <c r="BE19" i="156" s="1"/>
  <c r="BH19" i="156" s="1"/>
  <c r="BK19" i="156" s="1"/>
  <c r="BN19" i="156" s="1"/>
  <c r="BQ19" i="156" s="1"/>
  <c r="BT19" i="156" s="1"/>
  <c r="BW19" i="156" s="1"/>
  <c r="BZ19" i="156" s="1"/>
  <c r="CC19" i="156" s="1"/>
  <c r="CF19" i="156" s="1"/>
  <c r="CI19" i="156" s="1"/>
  <c r="CL19" i="156" s="1"/>
  <c r="CO19" i="156" s="1"/>
  <c r="CR19" i="156" s="1"/>
  <c r="CU19" i="156" s="1"/>
  <c r="CV18" i="156"/>
  <c r="CW18" i="156"/>
  <c r="I18" i="156"/>
  <c r="L18" i="156" s="1"/>
  <c r="O18" i="156" s="1"/>
  <c r="R18" i="156" s="1"/>
  <c r="U18" i="156" s="1"/>
  <c r="X18" i="156" s="1"/>
  <c r="AA18" i="156" s="1"/>
  <c r="AD18" i="156" s="1"/>
  <c r="AG18" i="156" s="1"/>
  <c r="AJ18" i="156" s="1"/>
  <c r="AM18" i="156" s="1"/>
  <c r="AP18" i="156" s="1"/>
  <c r="AS18" i="156" s="1"/>
  <c r="AV18" i="156" s="1"/>
  <c r="AY18" i="156" s="1"/>
  <c r="BB18" i="156" s="1"/>
  <c r="BE18" i="156" s="1"/>
  <c r="BH18" i="156" s="1"/>
  <c r="BK18" i="156" s="1"/>
  <c r="BN18" i="156" s="1"/>
  <c r="BQ18" i="156" s="1"/>
  <c r="BT18" i="156" s="1"/>
  <c r="BW18" i="156" s="1"/>
  <c r="BZ18" i="156" s="1"/>
  <c r="CC18" i="156" s="1"/>
  <c r="CF18" i="156" s="1"/>
  <c r="CI18" i="156" s="1"/>
  <c r="CL18" i="156" s="1"/>
  <c r="CO18" i="156" s="1"/>
  <c r="CR18" i="156" s="1"/>
  <c r="CU18" i="156" s="1"/>
  <c r="CW17" i="156"/>
  <c r="I17" i="156"/>
  <c r="CV16" i="156"/>
  <c r="CW14" i="156"/>
  <c r="CV14" i="156"/>
  <c r="I14" i="156"/>
  <c r="L14" i="156" s="1"/>
  <c r="O14" i="156" s="1"/>
  <c r="R14" i="156" s="1"/>
  <c r="U14" i="156" s="1"/>
  <c r="X14" i="156" s="1"/>
  <c r="AA14" i="156" s="1"/>
  <c r="AD14" i="156" s="1"/>
  <c r="AG14" i="156" s="1"/>
  <c r="AJ14" i="156" s="1"/>
  <c r="AM14" i="156" s="1"/>
  <c r="AP14" i="156" s="1"/>
  <c r="AS14" i="156" s="1"/>
  <c r="AV14" i="156" s="1"/>
  <c r="AY14" i="156" s="1"/>
  <c r="BB14" i="156" s="1"/>
  <c r="BE14" i="156" s="1"/>
  <c r="BH14" i="156" s="1"/>
  <c r="BK14" i="156" s="1"/>
  <c r="BN14" i="156" s="1"/>
  <c r="BQ14" i="156" s="1"/>
  <c r="BT14" i="156" s="1"/>
  <c r="BW14" i="156" s="1"/>
  <c r="BZ14" i="156" s="1"/>
  <c r="CC14" i="156" s="1"/>
  <c r="CF14" i="156" s="1"/>
  <c r="CI14" i="156" s="1"/>
  <c r="CL14" i="156" s="1"/>
  <c r="CO14" i="156" s="1"/>
  <c r="CR14" i="156" s="1"/>
  <c r="CU14" i="156" s="1"/>
  <c r="CV13" i="156"/>
  <c r="I13" i="156"/>
  <c r="CW12" i="156"/>
  <c r="I12" i="156"/>
  <c r="CW11" i="156"/>
  <c r="CV11" i="156"/>
  <c r="I11" i="156"/>
  <c r="L11" i="156" s="1"/>
  <c r="O11" i="156" s="1"/>
  <c r="R11" i="156" s="1"/>
  <c r="U11" i="156" s="1"/>
  <c r="X11" i="156" s="1"/>
  <c r="AA11" i="156" s="1"/>
  <c r="AD11" i="156" s="1"/>
  <c r="AG11" i="156" s="1"/>
  <c r="AJ11" i="156" s="1"/>
  <c r="AM11" i="156" s="1"/>
  <c r="AP11" i="156" s="1"/>
  <c r="AS11" i="156" s="1"/>
  <c r="AV11" i="156" s="1"/>
  <c r="AY11" i="156" s="1"/>
  <c r="BB11" i="156" s="1"/>
  <c r="BE11" i="156" s="1"/>
  <c r="BH11" i="156" s="1"/>
  <c r="BK11" i="156" s="1"/>
  <c r="BN11" i="156" s="1"/>
  <c r="BQ11" i="156" s="1"/>
  <c r="BT11" i="156" s="1"/>
  <c r="BW11" i="156" s="1"/>
  <c r="BZ11" i="156" s="1"/>
  <c r="CC11" i="156" s="1"/>
  <c r="CF11" i="156" s="1"/>
  <c r="CI11" i="156" s="1"/>
  <c r="CL11" i="156" s="1"/>
  <c r="CO11" i="156" s="1"/>
  <c r="CR11" i="156" s="1"/>
  <c r="CU11" i="156" s="1"/>
  <c r="CW10" i="156"/>
  <c r="CV10" i="156"/>
  <c r="I10" i="156"/>
  <c r="L10" i="156" s="1"/>
  <c r="O10" i="156" s="1"/>
  <c r="R10" i="156" s="1"/>
  <c r="U10" i="156" s="1"/>
  <c r="X10" i="156" s="1"/>
  <c r="AA10" i="156" s="1"/>
  <c r="AD10" i="156" s="1"/>
  <c r="AG10" i="156" s="1"/>
  <c r="AJ10" i="156" s="1"/>
  <c r="AM10" i="156" s="1"/>
  <c r="AP10" i="156" s="1"/>
  <c r="AS10" i="156" s="1"/>
  <c r="AV10" i="156" s="1"/>
  <c r="AY10" i="156" s="1"/>
  <c r="BB10" i="156" s="1"/>
  <c r="BE10" i="156" s="1"/>
  <c r="BH10" i="156" s="1"/>
  <c r="BK10" i="156" s="1"/>
  <c r="BN10" i="156" s="1"/>
  <c r="BQ10" i="156" s="1"/>
  <c r="BT10" i="156" s="1"/>
  <c r="BW10" i="156" s="1"/>
  <c r="BZ10" i="156" s="1"/>
  <c r="CC10" i="156" s="1"/>
  <c r="CF10" i="156" s="1"/>
  <c r="CI10" i="156" s="1"/>
  <c r="CL10" i="156" s="1"/>
  <c r="CO10" i="156" s="1"/>
  <c r="CR10" i="156" s="1"/>
  <c r="CU10" i="156" s="1"/>
  <c r="CW9" i="156"/>
  <c r="CV9" i="156"/>
  <c r="I9" i="156"/>
  <c r="L9" i="156" s="1"/>
  <c r="O9" i="156" s="1"/>
  <c r="R9" i="156" s="1"/>
  <c r="U9" i="156" s="1"/>
  <c r="X9" i="156" s="1"/>
  <c r="AA9" i="156" s="1"/>
  <c r="AD9" i="156" s="1"/>
  <c r="AG9" i="156" s="1"/>
  <c r="AJ9" i="156" s="1"/>
  <c r="AM9" i="156" s="1"/>
  <c r="AP9" i="156" s="1"/>
  <c r="AS9" i="156" s="1"/>
  <c r="AV9" i="156" s="1"/>
  <c r="AY9" i="156" s="1"/>
  <c r="BB9" i="156" s="1"/>
  <c r="BE9" i="156" s="1"/>
  <c r="BH9" i="156" s="1"/>
  <c r="BK9" i="156" s="1"/>
  <c r="BN9" i="156" s="1"/>
  <c r="BQ9" i="156" s="1"/>
  <c r="BT9" i="156" s="1"/>
  <c r="BW9" i="156" s="1"/>
  <c r="BZ9" i="156" s="1"/>
  <c r="CC9" i="156" s="1"/>
  <c r="CF9" i="156" s="1"/>
  <c r="CI9" i="156" s="1"/>
  <c r="CL9" i="156" s="1"/>
  <c r="CO9" i="156" s="1"/>
  <c r="CR9" i="156" s="1"/>
  <c r="CU9" i="156" s="1"/>
  <c r="CV8" i="156"/>
  <c r="CW8" i="156"/>
  <c r="I8" i="156"/>
  <c r="L8" i="156" s="1"/>
  <c r="O8" i="156" s="1"/>
  <c r="R8" i="156" s="1"/>
  <c r="U8" i="156" s="1"/>
  <c r="X8" i="156" s="1"/>
  <c r="AA8" i="156" s="1"/>
  <c r="AD8" i="156" s="1"/>
  <c r="AG8" i="156" s="1"/>
  <c r="AJ8" i="156" s="1"/>
  <c r="AM8" i="156" s="1"/>
  <c r="AP8" i="156" s="1"/>
  <c r="AS8" i="156" s="1"/>
  <c r="AV8" i="156" s="1"/>
  <c r="AY8" i="156" s="1"/>
  <c r="BB8" i="156" s="1"/>
  <c r="BE8" i="156" s="1"/>
  <c r="BH8" i="156" s="1"/>
  <c r="BK8" i="156" s="1"/>
  <c r="BN8" i="156" s="1"/>
  <c r="BQ8" i="156" s="1"/>
  <c r="BT8" i="156" s="1"/>
  <c r="BW8" i="156" s="1"/>
  <c r="BZ8" i="156" s="1"/>
  <c r="CC8" i="156" s="1"/>
  <c r="CF8" i="156" s="1"/>
  <c r="CI8" i="156" s="1"/>
  <c r="CL8" i="156" s="1"/>
  <c r="CO8" i="156" s="1"/>
  <c r="CR8" i="156" s="1"/>
  <c r="CU8" i="156" s="1"/>
  <c r="CW7" i="156"/>
  <c r="CV7" i="156"/>
  <c r="I7" i="156"/>
  <c r="L7" i="156" s="1"/>
  <c r="O7" i="156" s="1"/>
  <c r="R7" i="156" s="1"/>
  <c r="U7" i="156" s="1"/>
  <c r="X7" i="156" s="1"/>
  <c r="AA7" i="156" s="1"/>
  <c r="AD7" i="156" s="1"/>
  <c r="AG7" i="156" s="1"/>
  <c r="AJ7" i="156" s="1"/>
  <c r="AM7" i="156" s="1"/>
  <c r="AP7" i="156" s="1"/>
  <c r="AS7" i="156" s="1"/>
  <c r="AV7" i="156" s="1"/>
  <c r="AY7" i="156" s="1"/>
  <c r="BB7" i="156" s="1"/>
  <c r="BE7" i="156" s="1"/>
  <c r="BH7" i="156" s="1"/>
  <c r="BK7" i="156" s="1"/>
  <c r="BN7" i="156" s="1"/>
  <c r="BQ7" i="156" s="1"/>
  <c r="BT7" i="156" s="1"/>
  <c r="BW7" i="156" s="1"/>
  <c r="BZ7" i="156" s="1"/>
  <c r="CC7" i="156" s="1"/>
  <c r="CF7" i="156" s="1"/>
  <c r="CI7" i="156" s="1"/>
  <c r="CL7" i="156" s="1"/>
  <c r="CO7" i="156" s="1"/>
  <c r="CR7" i="156" s="1"/>
  <c r="CU7" i="156" s="1"/>
  <c r="CV6" i="156"/>
  <c r="CW5" i="156"/>
  <c r="CV5" i="156"/>
  <c r="I5" i="156"/>
  <c r="L5" i="156" s="1"/>
  <c r="O5" i="156" s="1"/>
  <c r="R5" i="156" s="1"/>
  <c r="U5" i="156" s="1"/>
  <c r="X5" i="156" s="1"/>
  <c r="AA5" i="156" s="1"/>
  <c r="AD5" i="156" s="1"/>
  <c r="AG5" i="156" s="1"/>
  <c r="AJ5" i="156" s="1"/>
  <c r="AM5" i="156" s="1"/>
  <c r="AP5" i="156" s="1"/>
  <c r="AS5" i="156" s="1"/>
  <c r="AV5" i="156" s="1"/>
  <c r="AY5" i="156" s="1"/>
  <c r="BB5" i="156" s="1"/>
  <c r="BE5" i="156" s="1"/>
  <c r="BH5" i="156" s="1"/>
  <c r="BK5" i="156" s="1"/>
  <c r="BN5" i="156" s="1"/>
  <c r="BQ5" i="156" s="1"/>
  <c r="BT5" i="156" s="1"/>
  <c r="BW5" i="156" s="1"/>
  <c r="BZ5" i="156" s="1"/>
  <c r="CC5" i="156" s="1"/>
  <c r="CF5" i="156" s="1"/>
  <c r="CI5" i="156" s="1"/>
  <c r="CL5" i="156" s="1"/>
  <c r="CO5" i="156" s="1"/>
  <c r="CR5" i="156" s="1"/>
  <c r="CU5" i="156" s="1"/>
  <c r="CM17" i="155"/>
  <c r="AS59" i="156" l="1"/>
  <c r="AV59" i="156" s="1"/>
  <c r="AY59" i="156" s="1"/>
  <c r="BB59" i="156" s="1"/>
  <c r="BE59" i="156" s="1"/>
  <c r="BH59" i="156" s="1"/>
  <c r="BK59" i="156" s="1"/>
  <c r="BN59" i="156" s="1"/>
  <c r="BQ59" i="156" s="1"/>
  <c r="BT59" i="156" s="1"/>
  <c r="BW59" i="156" s="1"/>
  <c r="BZ59" i="156" s="1"/>
  <c r="CC59" i="156" s="1"/>
  <c r="CF59" i="156" s="1"/>
  <c r="CI59" i="156" s="1"/>
  <c r="CL59" i="156" s="1"/>
  <c r="CO59" i="156" s="1"/>
  <c r="CR59" i="156" s="1"/>
  <c r="CU59" i="156" s="1"/>
  <c r="L17" i="156"/>
  <c r="O17" i="156" s="1"/>
  <c r="R17" i="156" s="1"/>
  <c r="U17" i="156" s="1"/>
  <c r="X17" i="156" s="1"/>
  <c r="AA17" i="156" s="1"/>
  <c r="AD17" i="156" s="1"/>
  <c r="AG17" i="156" s="1"/>
  <c r="AJ17" i="156" s="1"/>
  <c r="AM17" i="156" s="1"/>
  <c r="AP17" i="156" s="1"/>
  <c r="AS17" i="156" s="1"/>
  <c r="AV17" i="156" s="1"/>
  <c r="AY17" i="156" s="1"/>
  <c r="BB17" i="156" s="1"/>
  <c r="BE17" i="156" s="1"/>
  <c r="BH17" i="156" s="1"/>
  <c r="BK17" i="156" s="1"/>
  <c r="BN17" i="156" s="1"/>
  <c r="BQ17" i="156" s="1"/>
  <c r="BT17" i="156" s="1"/>
  <c r="BW17" i="156" s="1"/>
  <c r="BZ17" i="156" s="1"/>
  <c r="CC17" i="156" s="1"/>
  <c r="CF17" i="156" s="1"/>
  <c r="CI17" i="156" s="1"/>
  <c r="CL17" i="156" s="1"/>
  <c r="CO17" i="156" s="1"/>
  <c r="CR17" i="156" s="1"/>
  <c r="CU17" i="156" s="1"/>
  <c r="CX17" i="156" s="1"/>
  <c r="CZ17" i="156" s="1"/>
  <c r="L12" i="156"/>
  <c r="O12" i="156" s="1"/>
  <c r="R12" i="156" s="1"/>
  <c r="U12" i="156" s="1"/>
  <c r="X12" i="156" s="1"/>
  <c r="AA12" i="156" s="1"/>
  <c r="AD12" i="156" s="1"/>
  <c r="AG12" i="156" s="1"/>
  <c r="AJ12" i="156" s="1"/>
  <c r="AM12" i="156" s="1"/>
  <c r="AP12" i="156" s="1"/>
  <c r="AS12" i="156" s="1"/>
  <c r="AV12" i="156" s="1"/>
  <c r="AY12" i="156" s="1"/>
  <c r="BB12" i="156" s="1"/>
  <c r="BE12" i="156" s="1"/>
  <c r="BH12" i="156" s="1"/>
  <c r="BK12" i="156" s="1"/>
  <c r="BN12" i="156" s="1"/>
  <c r="BQ12" i="156" s="1"/>
  <c r="BT12" i="156" s="1"/>
  <c r="BW12" i="156" s="1"/>
  <c r="BZ12" i="156" s="1"/>
  <c r="CC12" i="156" s="1"/>
  <c r="CF12" i="156" s="1"/>
  <c r="CI12" i="156" s="1"/>
  <c r="CL12" i="156" s="1"/>
  <c r="CO12" i="156" s="1"/>
  <c r="CR12" i="156" s="1"/>
  <c r="CU12" i="156" s="1"/>
  <c r="CX12" i="156" s="1"/>
  <c r="CZ12" i="156" s="1"/>
  <c r="L73" i="156"/>
  <c r="O73" i="156" s="1"/>
  <c r="R73" i="156" s="1"/>
  <c r="U73" i="156" s="1"/>
  <c r="X73" i="156" s="1"/>
  <c r="AA73" i="156" s="1"/>
  <c r="AD73" i="156" s="1"/>
  <c r="AG73" i="156" s="1"/>
  <c r="AJ73" i="156" s="1"/>
  <c r="AM73" i="156" s="1"/>
  <c r="AP73" i="156" s="1"/>
  <c r="AS73" i="156" s="1"/>
  <c r="AV73" i="156" s="1"/>
  <c r="AY73" i="156" s="1"/>
  <c r="BB73" i="156" s="1"/>
  <c r="BE73" i="156" s="1"/>
  <c r="BH73" i="156" s="1"/>
  <c r="BK73" i="156" s="1"/>
  <c r="BN73" i="156" s="1"/>
  <c r="BQ73" i="156" s="1"/>
  <c r="BT73" i="156" s="1"/>
  <c r="BW73" i="156" s="1"/>
  <c r="BZ73" i="156" s="1"/>
  <c r="CC73" i="156" s="1"/>
  <c r="CF73" i="156" s="1"/>
  <c r="CI73" i="156" s="1"/>
  <c r="CL73" i="156" s="1"/>
  <c r="CO73" i="156" s="1"/>
  <c r="CR73" i="156" s="1"/>
  <c r="CU73" i="156" s="1"/>
  <c r="DB73" i="156" s="1"/>
  <c r="DE73" i="156" s="1"/>
  <c r="L40" i="156"/>
  <c r="O40" i="156" s="1"/>
  <c r="R40" i="156" s="1"/>
  <c r="U40" i="156" s="1"/>
  <c r="X40" i="156" s="1"/>
  <c r="AA40" i="156" s="1"/>
  <c r="AD40" i="156" s="1"/>
  <c r="AG40" i="156" s="1"/>
  <c r="AJ40" i="156" s="1"/>
  <c r="AM40" i="156" s="1"/>
  <c r="AP40" i="156" s="1"/>
  <c r="AS40" i="156" s="1"/>
  <c r="AV40" i="156" s="1"/>
  <c r="AY40" i="156" s="1"/>
  <c r="BB40" i="156" s="1"/>
  <c r="BE40" i="156" s="1"/>
  <c r="BH40" i="156" s="1"/>
  <c r="BK40" i="156" s="1"/>
  <c r="BN40" i="156" s="1"/>
  <c r="BQ40" i="156" s="1"/>
  <c r="BT40" i="156" s="1"/>
  <c r="BW40" i="156" s="1"/>
  <c r="BZ40" i="156" s="1"/>
  <c r="CC40" i="156" s="1"/>
  <c r="CF40" i="156" s="1"/>
  <c r="CI40" i="156" s="1"/>
  <c r="CL40" i="156" s="1"/>
  <c r="CO40" i="156" s="1"/>
  <c r="CR40" i="156" s="1"/>
  <c r="CU40" i="156" s="1"/>
  <c r="DB40" i="156" s="1"/>
  <c r="DE40" i="156" s="1"/>
  <c r="L13" i="156"/>
  <c r="O13" i="156" s="1"/>
  <c r="R13" i="156" s="1"/>
  <c r="U13" i="156" s="1"/>
  <c r="X13" i="156" s="1"/>
  <c r="AA13" i="156" s="1"/>
  <c r="AD13" i="156" s="1"/>
  <c r="AG13" i="156" s="1"/>
  <c r="AJ13" i="156" s="1"/>
  <c r="AM13" i="156" s="1"/>
  <c r="AP13" i="156" s="1"/>
  <c r="AS13" i="156" s="1"/>
  <c r="AV13" i="156" s="1"/>
  <c r="AY13" i="156" s="1"/>
  <c r="BB13" i="156" s="1"/>
  <c r="BE13" i="156" s="1"/>
  <c r="BH13" i="156" s="1"/>
  <c r="BK13" i="156" s="1"/>
  <c r="BN13" i="156" s="1"/>
  <c r="BQ13" i="156" s="1"/>
  <c r="BT13" i="156" s="1"/>
  <c r="BW13" i="156" s="1"/>
  <c r="BZ13" i="156" s="1"/>
  <c r="CC13" i="156" s="1"/>
  <c r="CF13" i="156" s="1"/>
  <c r="CI13" i="156" s="1"/>
  <c r="CL13" i="156" s="1"/>
  <c r="CO13" i="156" s="1"/>
  <c r="CR13" i="156" s="1"/>
  <c r="CU13" i="156" s="1"/>
  <c r="DB13" i="156" s="1"/>
  <c r="DE13" i="156" s="1"/>
  <c r="L6" i="156"/>
  <c r="O6" i="156" s="1"/>
  <c r="R6" i="156" s="1"/>
  <c r="U6" i="156" s="1"/>
  <c r="X6" i="156" s="1"/>
  <c r="AA6" i="156" s="1"/>
  <c r="AD6" i="156" s="1"/>
  <c r="AG6" i="156" s="1"/>
  <c r="AJ6" i="156" s="1"/>
  <c r="AM6" i="156" s="1"/>
  <c r="AP6" i="156" s="1"/>
  <c r="AS6" i="156" s="1"/>
  <c r="AV6" i="156" s="1"/>
  <c r="AY6" i="156" s="1"/>
  <c r="BB6" i="156" s="1"/>
  <c r="BE6" i="156" s="1"/>
  <c r="BH6" i="156" s="1"/>
  <c r="BK6" i="156" s="1"/>
  <c r="BN6" i="156" s="1"/>
  <c r="BQ6" i="156" s="1"/>
  <c r="BT6" i="156" s="1"/>
  <c r="BW6" i="156" s="1"/>
  <c r="BZ6" i="156" s="1"/>
  <c r="CC6" i="156" s="1"/>
  <c r="CF6" i="156" s="1"/>
  <c r="CI6" i="156" s="1"/>
  <c r="CL6" i="156" s="1"/>
  <c r="CO6" i="156" s="1"/>
  <c r="CR6" i="156" s="1"/>
  <c r="CU6" i="156" s="1"/>
  <c r="DB6" i="156" s="1"/>
  <c r="DE6" i="156" s="1"/>
  <c r="CW6" i="156"/>
  <c r="L58" i="156"/>
  <c r="O58" i="156" s="1"/>
  <c r="R58" i="156" s="1"/>
  <c r="U58" i="156" s="1"/>
  <c r="X58" i="156" s="1"/>
  <c r="AA58" i="156" s="1"/>
  <c r="AD58" i="156" s="1"/>
  <c r="AG58" i="156" s="1"/>
  <c r="AJ58" i="156" s="1"/>
  <c r="AM58" i="156" s="1"/>
  <c r="AP58" i="156" s="1"/>
  <c r="AS58" i="156" s="1"/>
  <c r="AV58" i="156" s="1"/>
  <c r="AY58" i="156" s="1"/>
  <c r="BB58" i="156" s="1"/>
  <c r="BE58" i="156" s="1"/>
  <c r="BH58" i="156" s="1"/>
  <c r="BK58" i="156" s="1"/>
  <c r="BN58" i="156" s="1"/>
  <c r="BQ58" i="156" s="1"/>
  <c r="BT58" i="156" s="1"/>
  <c r="BW58" i="156" s="1"/>
  <c r="BZ58" i="156" s="1"/>
  <c r="CC58" i="156" s="1"/>
  <c r="CF58" i="156" s="1"/>
  <c r="CI58" i="156" s="1"/>
  <c r="CL58" i="156" s="1"/>
  <c r="CO58" i="156" s="1"/>
  <c r="CR58" i="156" s="1"/>
  <c r="CU58" i="156" s="1"/>
  <c r="DB58" i="156" s="1"/>
  <c r="DE58" i="156" s="1"/>
  <c r="L48" i="156"/>
  <c r="O48" i="156" s="1"/>
  <c r="R48" i="156" s="1"/>
  <c r="U48" i="156" s="1"/>
  <c r="X48" i="156" s="1"/>
  <c r="AA48" i="156" s="1"/>
  <c r="AD48" i="156" s="1"/>
  <c r="AG48" i="156" s="1"/>
  <c r="AJ48" i="156" s="1"/>
  <c r="AM48" i="156" s="1"/>
  <c r="AP48" i="156" s="1"/>
  <c r="AS48" i="156" s="1"/>
  <c r="AV48" i="156" s="1"/>
  <c r="AY48" i="156" s="1"/>
  <c r="BB48" i="156" s="1"/>
  <c r="BE48" i="156" s="1"/>
  <c r="BH48" i="156" s="1"/>
  <c r="BK48" i="156" s="1"/>
  <c r="BN48" i="156" s="1"/>
  <c r="BQ48" i="156" s="1"/>
  <c r="BT48" i="156" s="1"/>
  <c r="BW48" i="156" s="1"/>
  <c r="BZ48" i="156" s="1"/>
  <c r="CC48" i="156" s="1"/>
  <c r="CF48" i="156" s="1"/>
  <c r="CI48" i="156" s="1"/>
  <c r="CL48" i="156" s="1"/>
  <c r="CO48" i="156" s="1"/>
  <c r="CR48" i="156" s="1"/>
  <c r="CU48" i="156" s="1"/>
  <c r="DB48" i="156" s="1"/>
  <c r="DE48" i="156" s="1"/>
  <c r="CW48" i="156"/>
  <c r="L27" i="156"/>
  <c r="O27" i="156" s="1"/>
  <c r="R27" i="156" s="1"/>
  <c r="U27" i="156" s="1"/>
  <c r="X27" i="156" s="1"/>
  <c r="AA27" i="156" s="1"/>
  <c r="AD27" i="156" s="1"/>
  <c r="AG27" i="156" s="1"/>
  <c r="AJ27" i="156" s="1"/>
  <c r="AM27" i="156" s="1"/>
  <c r="AP27" i="156" s="1"/>
  <c r="AS27" i="156" s="1"/>
  <c r="AV27" i="156" s="1"/>
  <c r="AY27" i="156" s="1"/>
  <c r="BB27" i="156" s="1"/>
  <c r="BE27" i="156" s="1"/>
  <c r="BH27" i="156" s="1"/>
  <c r="BK27" i="156" s="1"/>
  <c r="BN27" i="156" s="1"/>
  <c r="BQ27" i="156" s="1"/>
  <c r="BT27" i="156" s="1"/>
  <c r="BW27" i="156" s="1"/>
  <c r="BZ27" i="156" s="1"/>
  <c r="CC27" i="156" s="1"/>
  <c r="CF27" i="156" s="1"/>
  <c r="CI27" i="156" s="1"/>
  <c r="CL27" i="156" s="1"/>
  <c r="CO27" i="156" s="1"/>
  <c r="CR27" i="156" s="1"/>
  <c r="CU27" i="156" s="1"/>
  <c r="DB27" i="156" s="1"/>
  <c r="DE27" i="156" s="1"/>
  <c r="DB37" i="156"/>
  <c r="DE37" i="156" s="1"/>
  <c r="CX37" i="156"/>
  <c r="CZ37" i="156" s="1"/>
  <c r="CX42" i="156"/>
  <c r="CZ42" i="156" s="1"/>
  <c r="DB42" i="156"/>
  <c r="DE42" i="156" s="1"/>
  <c r="DB45" i="156"/>
  <c r="DE45" i="156" s="1"/>
  <c r="CX45" i="156"/>
  <c r="CZ45" i="156" s="1"/>
  <c r="DB62" i="156"/>
  <c r="DE62" i="156" s="1"/>
  <c r="CX62" i="156"/>
  <c r="CZ62" i="156" s="1"/>
  <c r="DB20" i="156"/>
  <c r="DE20" i="156" s="1"/>
  <c r="CX20" i="156"/>
  <c r="CZ20" i="156" s="1"/>
  <c r="DB23" i="156"/>
  <c r="DE23" i="156" s="1"/>
  <c r="CX23" i="156"/>
  <c r="CZ23" i="156" s="1"/>
  <c r="DB33" i="156"/>
  <c r="DE33" i="156" s="1"/>
  <c r="CX33" i="156"/>
  <c r="CZ33" i="156" s="1"/>
  <c r="DB38" i="156"/>
  <c r="DE38" i="156" s="1"/>
  <c r="CX38" i="156"/>
  <c r="CZ38" i="156" s="1"/>
  <c r="DB43" i="156"/>
  <c r="DE43" i="156" s="1"/>
  <c r="CX43" i="156"/>
  <c r="CZ43" i="156" s="1"/>
  <c r="DB8" i="156"/>
  <c r="DE8" i="156" s="1"/>
  <c r="CX8" i="156"/>
  <c r="CZ8" i="156" s="1"/>
  <c r="DB24" i="156"/>
  <c r="DE24" i="156" s="1"/>
  <c r="CX24" i="156"/>
  <c r="CZ24" i="156" s="1"/>
  <c r="DB9" i="156"/>
  <c r="DE9" i="156" s="1"/>
  <c r="CX9" i="156"/>
  <c r="CZ9" i="156" s="1"/>
  <c r="DB49" i="156"/>
  <c r="DE49" i="156" s="1"/>
  <c r="CX49" i="156"/>
  <c r="CZ49" i="156" s="1"/>
  <c r="CX52" i="156"/>
  <c r="CZ52" i="156" s="1"/>
  <c r="DB52" i="156"/>
  <c r="DE52" i="156" s="1"/>
  <c r="DB54" i="156"/>
  <c r="DE54" i="156" s="1"/>
  <c r="CX54" i="156"/>
  <c r="CZ54" i="156" s="1"/>
  <c r="DB18" i="156"/>
  <c r="DE18" i="156" s="1"/>
  <c r="CX18" i="156"/>
  <c r="CZ18" i="156" s="1"/>
  <c r="CX30" i="156"/>
  <c r="CZ30" i="156" s="1"/>
  <c r="DB30" i="156"/>
  <c r="DE30" i="156" s="1"/>
  <c r="DB34" i="156"/>
  <c r="DE34" i="156" s="1"/>
  <c r="CX34" i="156"/>
  <c r="CZ34" i="156" s="1"/>
  <c r="DB57" i="156"/>
  <c r="DE57" i="156" s="1"/>
  <c r="CX57" i="156"/>
  <c r="CZ57" i="156" s="1"/>
  <c r="DB5" i="156"/>
  <c r="DE5" i="156" s="1"/>
  <c r="CX5" i="156"/>
  <c r="CZ5" i="156" s="1"/>
  <c r="CX21" i="156"/>
  <c r="CZ21" i="156" s="1"/>
  <c r="DB21" i="156"/>
  <c r="DE21" i="156" s="1"/>
  <c r="DB53" i="156"/>
  <c r="DE53" i="156" s="1"/>
  <c r="CX53" i="156"/>
  <c r="CZ53" i="156" s="1"/>
  <c r="DB14" i="156"/>
  <c r="DE14" i="156" s="1"/>
  <c r="CX14" i="156"/>
  <c r="CZ14" i="156" s="1"/>
  <c r="DB31" i="156"/>
  <c r="DE31" i="156" s="1"/>
  <c r="CX31" i="156"/>
  <c r="CZ31" i="156" s="1"/>
  <c r="DB19" i="156"/>
  <c r="DE19" i="156" s="1"/>
  <c r="CX19" i="156"/>
  <c r="CZ19" i="156" s="1"/>
  <c r="CX28" i="156"/>
  <c r="CZ28" i="156" s="1"/>
  <c r="DB28" i="156"/>
  <c r="DE28" i="156" s="1"/>
  <c r="CX50" i="156"/>
  <c r="CZ50" i="156" s="1"/>
  <c r="DB50" i="156"/>
  <c r="DE50" i="156" s="1"/>
  <c r="DB55" i="156"/>
  <c r="DE55" i="156" s="1"/>
  <c r="CX55" i="156"/>
  <c r="CZ55" i="156" s="1"/>
  <c r="DB44" i="156"/>
  <c r="DE44" i="156" s="1"/>
  <c r="CX44" i="156"/>
  <c r="CZ44" i="156" s="1"/>
  <c r="DB41" i="156"/>
  <c r="DE41" i="156" s="1"/>
  <c r="CX41" i="156"/>
  <c r="CZ41" i="156" s="1"/>
  <c r="DB46" i="156"/>
  <c r="DE46" i="156" s="1"/>
  <c r="CX46" i="156"/>
  <c r="CZ46" i="156" s="1"/>
  <c r="CX7" i="156"/>
  <c r="CZ7" i="156" s="1"/>
  <c r="DB7" i="156"/>
  <c r="DE7" i="156" s="1"/>
  <c r="CX10" i="156"/>
  <c r="CZ10" i="156" s="1"/>
  <c r="DB10" i="156"/>
  <c r="DE10" i="156" s="1"/>
  <c r="CX35" i="156"/>
  <c r="CZ35" i="156" s="1"/>
  <c r="DB35" i="156"/>
  <c r="DE35" i="156" s="1"/>
  <c r="CX32" i="156"/>
  <c r="CZ32" i="156" s="1"/>
  <c r="DB32" i="156"/>
  <c r="DE32" i="156" s="1"/>
  <c r="DB11" i="156"/>
  <c r="DE11" i="156" s="1"/>
  <c r="CX11" i="156"/>
  <c r="CZ11" i="156" s="1"/>
  <c r="DB51" i="156"/>
  <c r="DE51" i="156" s="1"/>
  <c r="CX51" i="156"/>
  <c r="CZ51" i="156" s="1"/>
  <c r="DB61" i="156"/>
  <c r="DE61" i="156" s="1"/>
  <c r="CX61" i="156"/>
  <c r="CZ61" i="156" s="1"/>
  <c r="DB65" i="156"/>
  <c r="DE65" i="156" s="1"/>
  <c r="CX65" i="156"/>
  <c r="CZ65" i="156" s="1"/>
  <c r="CV17" i="156"/>
  <c r="CV36" i="156"/>
  <c r="I15" i="156"/>
  <c r="L15" i="156" s="1"/>
  <c r="O15" i="156" s="1"/>
  <c r="R15" i="156" s="1"/>
  <c r="U15" i="156" s="1"/>
  <c r="X15" i="156" s="1"/>
  <c r="AA15" i="156" s="1"/>
  <c r="AD15" i="156" s="1"/>
  <c r="AG15" i="156" s="1"/>
  <c r="AJ15" i="156" s="1"/>
  <c r="AM15" i="156" s="1"/>
  <c r="AP15" i="156" s="1"/>
  <c r="AS15" i="156" s="1"/>
  <c r="AV15" i="156" s="1"/>
  <c r="AY15" i="156" s="1"/>
  <c r="BB15" i="156" s="1"/>
  <c r="BE15" i="156" s="1"/>
  <c r="BH15" i="156" s="1"/>
  <c r="BK15" i="156" s="1"/>
  <c r="BN15" i="156" s="1"/>
  <c r="BQ15" i="156" s="1"/>
  <c r="BT15" i="156" s="1"/>
  <c r="BW15" i="156" s="1"/>
  <c r="BZ15" i="156" s="1"/>
  <c r="CC15" i="156" s="1"/>
  <c r="CF15" i="156" s="1"/>
  <c r="CI15" i="156" s="1"/>
  <c r="CL15" i="156" s="1"/>
  <c r="CO15" i="156" s="1"/>
  <c r="CR15" i="156" s="1"/>
  <c r="CU15" i="156" s="1"/>
  <c r="L36" i="156"/>
  <c r="O36" i="156" s="1"/>
  <c r="R36" i="156" s="1"/>
  <c r="U36" i="156" s="1"/>
  <c r="X36" i="156" s="1"/>
  <c r="AA36" i="156" s="1"/>
  <c r="AD36" i="156" s="1"/>
  <c r="AG36" i="156" s="1"/>
  <c r="AJ36" i="156" s="1"/>
  <c r="AM36" i="156" s="1"/>
  <c r="AP36" i="156" s="1"/>
  <c r="AS36" i="156" s="1"/>
  <c r="AV36" i="156" s="1"/>
  <c r="AY36" i="156" s="1"/>
  <c r="BB36" i="156" s="1"/>
  <c r="BE36" i="156" s="1"/>
  <c r="BH36" i="156" s="1"/>
  <c r="BK36" i="156" s="1"/>
  <c r="BN36" i="156" s="1"/>
  <c r="BQ36" i="156" s="1"/>
  <c r="BT36" i="156" s="1"/>
  <c r="BW36" i="156" s="1"/>
  <c r="BZ36" i="156" s="1"/>
  <c r="CC36" i="156" s="1"/>
  <c r="CF36" i="156" s="1"/>
  <c r="CI36" i="156" s="1"/>
  <c r="CL36" i="156" s="1"/>
  <c r="CO36" i="156" s="1"/>
  <c r="CR36" i="156" s="1"/>
  <c r="CU36" i="156" s="1"/>
  <c r="CX71" i="156"/>
  <c r="CZ71" i="156" s="1"/>
  <c r="DB71" i="156"/>
  <c r="DE71" i="156" s="1"/>
  <c r="CW36" i="156"/>
  <c r="DB69" i="156"/>
  <c r="DE69" i="156" s="1"/>
  <c r="CX69" i="156"/>
  <c r="CZ69" i="156" s="1"/>
  <c r="R26" i="156"/>
  <c r="U26" i="156" s="1"/>
  <c r="X26" i="156" s="1"/>
  <c r="AA26" i="156" s="1"/>
  <c r="AD26" i="156" s="1"/>
  <c r="AG26" i="156" s="1"/>
  <c r="AJ26" i="156" s="1"/>
  <c r="AM26" i="156" s="1"/>
  <c r="AP26" i="156" s="1"/>
  <c r="AS26" i="156" s="1"/>
  <c r="AV26" i="156" s="1"/>
  <c r="AY26" i="156" s="1"/>
  <c r="BB26" i="156" s="1"/>
  <c r="BE26" i="156" s="1"/>
  <c r="BH26" i="156" s="1"/>
  <c r="BK26" i="156" s="1"/>
  <c r="BN26" i="156" s="1"/>
  <c r="BQ26" i="156" s="1"/>
  <c r="BT26" i="156" s="1"/>
  <c r="BW26" i="156" s="1"/>
  <c r="BZ26" i="156" s="1"/>
  <c r="CC26" i="156" s="1"/>
  <c r="CF26" i="156" s="1"/>
  <c r="CI26" i="156" s="1"/>
  <c r="CL26" i="156" s="1"/>
  <c r="CO26" i="156" s="1"/>
  <c r="CR26" i="156" s="1"/>
  <c r="CU26" i="156" s="1"/>
  <c r="CW23" i="156"/>
  <c r="CW45" i="156"/>
  <c r="CW53" i="156"/>
  <c r="CW25" i="156"/>
  <c r="L39" i="156"/>
  <c r="O39" i="156" s="1"/>
  <c r="R39" i="156" s="1"/>
  <c r="U39" i="156" s="1"/>
  <c r="X39" i="156" s="1"/>
  <c r="AA39" i="156" s="1"/>
  <c r="AD39" i="156" s="1"/>
  <c r="AG39" i="156" s="1"/>
  <c r="AJ39" i="156" s="1"/>
  <c r="AM39" i="156" s="1"/>
  <c r="AP39" i="156" s="1"/>
  <c r="AS39" i="156" s="1"/>
  <c r="AV39" i="156" s="1"/>
  <c r="AY39" i="156" s="1"/>
  <c r="BB39" i="156" s="1"/>
  <c r="BE39" i="156" s="1"/>
  <c r="BH39" i="156" s="1"/>
  <c r="BK39" i="156" s="1"/>
  <c r="BN39" i="156" s="1"/>
  <c r="BQ39" i="156" s="1"/>
  <c r="BT39" i="156" s="1"/>
  <c r="BW39" i="156" s="1"/>
  <c r="BZ39" i="156" s="1"/>
  <c r="CC39" i="156" s="1"/>
  <c r="CF39" i="156" s="1"/>
  <c r="CI39" i="156" s="1"/>
  <c r="CL39" i="156" s="1"/>
  <c r="CO39" i="156" s="1"/>
  <c r="CR39" i="156" s="1"/>
  <c r="CU39" i="156" s="1"/>
  <c r="DB66" i="156"/>
  <c r="DE66" i="156" s="1"/>
  <c r="CX66" i="156"/>
  <c r="CZ66" i="156" s="1"/>
  <c r="DB72" i="156"/>
  <c r="DE72" i="156" s="1"/>
  <c r="CX72" i="156"/>
  <c r="CZ72" i="156" s="1"/>
  <c r="I25" i="156"/>
  <c r="L25" i="156" s="1"/>
  <c r="O25" i="156" s="1"/>
  <c r="R25" i="156" s="1"/>
  <c r="U25" i="156" s="1"/>
  <c r="X25" i="156" s="1"/>
  <c r="AA25" i="156" s="1"/>
  <c r="AD25" i="156" s="1"/>
  <c r="AG25" i="156" s="1"/>
  <c r="AJ25" i="156" s="1"/>
  <c r="AM25" i="156" s="1"/>
  <c r="AP25" i="156" s="1"/>
  <c r="AS25" i="156" s="1"/>
  <c r="AV25" i="156" s="1"/>
  <c r="AY25" i="156" s="1"/>
  <c r="BB25" i="156" s="1"/>
  <c r="BE25" i="156" s="1"/>
  <c r="BH25" i="156" s="1"/>
  <c r="BK25" i="156" s="1"/>
  <c r="BN25" i="156" s="1"/>
  <c r="BQ25" i="156" s="1"/>
  <c r="BT25" i="156" s="1"/>
  <c r="BW25" i="156" s="1"/>
  <c r="BZ25" i="156" s="1"/>
  <c r="CC25" i="156" s="1"/>
  <c r="CF25" i="156" s="1"/>
  <c r="CI25" i="156" s="1"/>
  <c r="CL25" i="156" s="1"/>
  <c r="CO25" i="156" s="1"/>
  <c r="CR25" i="156" s="1"/>
  <c r="CU25" i="156" s="1"/>
  <c r="CW39" i="156"/>
  <c r="CX64" i="156"/>
  <c r="CZ64" i="156" s="1"/>
  <c r="DB64" i="156"/>
  <c r="DE64" i="156" s="1"/>
  <c r="CX70" i="156"/>
  <c r="CZ70" i="156" s="1"/>
  <c r="DB70" i="156"/>
  <c r="DE70" i="156" s="1"/>
  <c r="DB76" i="156"/>
  <c r="DE76" i="156" s="1"/>
  <c r="CX76" i="156"/>
  <c r="CZ76" i="156" s="1"/>
  <c r="CV22" i="156"/>
  <c r="I22" i="156"/>
  <c r="L22" i="156" s="1"/>
  <c r="O22" i="156" s="1"/>
  <c r="R22" i="156" s="1"/>
  <c r="U22" i="156" s="1"/>
  <c r="X22" i="156" s="1"/>
  <c r="AA22" i="156" s="1"/>
  <c r="AD22" i="156" s="1"/>
  <c r="AG22" i="156" s="1"/>
  <c r="AJ22" i="156" s="1"/>
  <c r="AM22" i="156" s="1"/>
  <c r="AP22" i="156" s="1"/>
  <c r="AS22" i="156" s="1"/>
  <c r="AV22" i="156" s="1"/>
  <c r="AY22" i="156" s="1"/>
  <c r="BB22" i="156" s="1"/>
  <c r="BE22" i="156" s="1"/>
  <c r="BH22" i="156" s="1"/>
  <c r="BK22" i="156" s="1"/>
  <c r="BN22" i="156" s="1"/>
  <c r="BQ22" i="156" s="1"/>
  <c r="BT22" i="156" s="1"/>
  <c r="BW22" i="156" s="1"/>
  <c r="BZ22" i="156" s="1"/>
  <c r="CC22" i="156" s="1"/>
  <c r="CF22" i="156" s="1"/>
  <c r="CI22" i="156" s="1"/>
  <c r="CL22" i="156" s="1"/>
  <c r="CO22" i="156" s="1"/>
  <c r="CR22" i="156" s="1"/>
  <c r="CU22" i="156" s="1"/>
  <c r="CV15" i="156"/>
  <c r="CW22" i="156"/>
  <c r="DB67" i="156"/>
  <c r="DE67" i="156" s="1"/>
  <c r="CX67" i="156"/>
  <c r="CZ67" i="156" s="1"/>
  <c r="DB56" i="156"/>
  <c r="DE56" i="156" s="1"/>
  <c r="CW16" i="156"/>
  <c r="I16" i="156"/>
  <c r="L16" i="156" s="1"/>
  <c r="O16" i="156" s="1"/>
  <c r="R16" i="156" s="1"/>
  <c r="U16" i="156" s="1"/>
  <c r="X16" i="156" s="1"/>
  <c r="AA16" i="156" s="1"/>
  <c r="AD16" i="156" s="1"/>
  <c r="AG16" i="156" s="1"/>
  <c r="AJ16" i="156" s="1"/>
  <c r="AM16" i="156" s="1"/>
  <c r="AP16" i="156" s="1"/>
  <c r="AS16" i="156" s="1"/>
  <c r="AV16" i="156" s="1"/>
  <c r="AY16" i="156" s="1"/>
  <c r="BB16" i="156" s="1"/>
  <c r="BE16" i="156" s="1"/>
  <c r="BH16" i="156" s="1"/>
  <c r="BK16" i="156" s="1"/>
  <c r="BN16" i="156" s="1"/>
  <c r="BQ16" i="156" s="1"/>
  <c r="BT16" i="156" s="1"/>
  <c r="BW16" i="156" s="1"/>
  <c r="BZ16" i="156" s="1"/>
  <c r="CC16" i="156" s="1"/>
  <c r="CF16" i="156" s="1"/>
  <c r="CI16" i="156" s="1"/>
  <c r="CL16" i="156" s="1"/>
  <c r="CO16" i="156" s="1"/>
  <c r="CR16" i="156" s="1"/>
  <c r="CU16" i="156" s="1"/>
  <c r="CX74" i="156"/>
  <c r="CZ74" i="156" s="1"/>
  <c r="DB74" i="156"/>
  <c r="DE74" i="156" s="1"/>
  <c r="CW27" i="156"/>
  <c r="I29" i="156"/>
  <c r="L29" i="156" s="1"/>
  <c r="O29" i="156" s="1"/>
  <c r="R29" i="156" s="1"/>
  <c r="U29" i="156" s="1"/>
  <c r="X29" i="156" s="1"/>
  <c r="AA29" i="156" s="1"/>
  <c r="AD29" i="156" s="1"/>
  <c r="AG29" i="156" s="1"/>
  <c r="AJ29" i="156" s="1"/>
  <c r="AM29" i="156" s="1"/>
  <c r="AP29" i="156" s="1"/>
  <c r="AS29" i="156" s="1"/>
  <c r="AV29" i="156" s="1"/>
  <c r="AY29" i="156" s="1"/>
  <c r="BB29" i="156" s="1"/>
  <c r="BE29" i="156" s="1"/>
  <c r="BH29" i="156" s="1"/>
  <c r="BK29" i="156" s="1"/>
  <c r="BN29" i="156" s="1"/>
  <c r="BQ29" i="156" s="1"/>
  <c r="BT29" i="156" s="1"/>
  <c r="BW29" i="156" s="1"/>
  <c r="BZ29" i="156" s="1"/>
  <c r="CC29" i="156" s="1"/>
  <c r="CF29" i="156" s="1"/>
  <c r="CI29" i="156" s="1"/>
  <c r="CL29" i="156" s="1"/>
  <c r="CO29" i="156" s="1"/>
  <c r="CR29" i="156" s="1"/>
  <c r="CU29" i="156" s="1"/>
  <c r="CV29" i="156"/>
  <c r="L47" i="156"/>
  <c r="O47" i="156" s="1"/>
  <c r="R47" i="156" s="1"/>
  <c r="U47" i="156" s="1"/>
  <c r="X47" i="156" s="1"/>
  <c r="AA47" i="156" s="1"/>
  <c r="AD47" i="156" s="1"/>
  <c r="AG47" i="156" s="1"/>
  <c r="AJ47" i="156" s="1"/>
  <c r="AM47" i="156" s="1"/>
  <c r="AP47" i="156" s="1"/>
  <c r="AS47" i="156" s="1"/>
  <c r="AV47" i="156" s="1"/>
  <c r="AY47" i="156" s="1"/>
  <c r="BB47" i="156" s="1"/>
  <c r="BE47" i="156" s="1"/>
  <c r="BH47" i="156" s="1"/>
  <c r="BK47" i="156" s="1"/>
  <c r="BN47" i="156" s="1"/>
  <c r="BQ47" i="156" s="1"/>
  <c r="BT47" i="156" s="1"/>
  <c r="BW47" i="156" s="1"/>
  <c r="BZ47" i="156" s="1"/>
  <c r="CC47" i="156" s="1"/>
  <c r="CF47" i="156" s="1"/>
  <c r="CI47" i="156" s="1"/>
  <c r="CL47" i="156" s="1"/>
  <c r="CO47" i="156" s="1"/>
  <c r="CR47" i="156" s="1"/>
  <c r="CU47" i="156" s="1"/>
  <c r="CW47" i="156"/>
  <c r="CX68" i="156"/>
  <c r="CZ68" i="156" s="1"/>
  <c r="DB68" i="156"/>
  <c r="DE68" i="156" s="1"/>
  <c r="DB82" i="156"/>
  <c r="DE82" i="156" s="1"/>
  <c r="CX82" i="156"/>
  <c r="CZ82" i="156" s="1"/>
  <c r="DB90" i="156"/>
  <c r="DE90" i="156" s="1"/>
  <c r="CX90" i="156"/>
  <c r="CZ90" i="156" s="1"/>
  <c r="DB80" i="156"/>
  <c r="DE80" i="156" s="1"/>
  <c r="CX80" i="156"/>
  <c r="CZ80" i="156" s="1"/>
  <c r="DB86" i="156"/>
  <c r="DE86" i="156" s="1"/>
  <c r="CX86" i="156"/>
  <c r="CZ86" i="156" s="1"/>
  <c r="DB87" i="156"/>
  <c r="DE87" i="156" s="1"/>
  <c r="CX87" i="156"/>
  <c r="CZ87" i="156" s="1"/>
  <c r="DB91" i="156"/>
  <c r="DE91" i="156" s="1"/>
  <c r="CX91" i="156"/>
  <c r="CZ91" i="156" s="1"/>
  <c r="DB83" i="156"/>
  <c r="DE83" i="156" s="1"/>
  <c r="CX83" i="156"/>
  <c r="CZ83" i="156" s="1"/>
  <c r="DB84" i="156"/>
  <c r="DE84" i="156" s="1"/>
  <c r="CX84" i="156"/>
  <c r="CZ84" i="156" s="1"/>
  <c r="DB92" i="156"/>
  <c r="DE92" i="156" s="1"/>
  <c r="CX92" i="156"/>
  <c r="CZ92" i="156" s="1"/>
  <c r="DB88" i="156"/>
  <c r="DE88" i="156" s="1"/>
  <c r="CX88" i="156"/>
  <c r="CZ88" i="156" s="1"/>
  <c r="DB81" i="156"/>
  <c r="DE81" i="156" s="1"/>
  <c r="CX81" i="156"/>
  <c r="CZ81" i="156" s="1"/>
  <c r="DB85" i="156"/>
  <c r="DE85" i="156" s="1"/>
  <c r="CX85" i="156"/>
  <c r="CZ85" i="156" s="1"/>
  <c r="CW58" i="156"/>
  <c r="CW60" i="156"/>
  <c r="DB89" i="156"/>
  <c r="DE89" i="156" s="1"/>
  <c r="CX89" i="156"/>
  <c r="CZ89" i="156" s="1"/>
  <c r="DB93" i="156"/>
  <c r="DE93" i="156" s="1"/>
  <c r="CX93" i="156"/>
  <c r="CZ93" i="156" s="1"/>
  <c r="L60" i="156"/>
  <c r="O60" i="156" s="1"/>
  <c r="R60" i="156" s="1"/>
  <c r="U60" i="156" s="1"/>
  <c r="X60" i="156" s="1"/>
  <c r="AA60" i="156" s="1"/>
  <c r="AD60" i="156" s="1"/>
  <c r="AG60" i="156" s="1"/>
  <c r="AJ60" i="156" s="1"/>
  <c r="AM60" i="156" s="1"/>
  <c r="AP60" i="156" s="1"/>
  <c r="AS60" i="156" s="1"/>
  <c r="AV60" i="156" s="1"/>
  <c r="AY60" i="156" s="1"/>
  <c r="BB60" i="156" s="1"/>
  <c r="BE60" i="156" s="1"/>
  <c r="BH60" i="156" s="1"/>
  <c r="BK60" i="156" s="1"/>
  <c r="BN60" i="156" s="1"/>
  <c r="BQ60" i="156" s="1"/>
  <c r="BT60" i="156" s="1"/>
  <c r="BW60" i="156" s="1"/>
  <c r="BZ60" i="156" s="1"/>
  <c r="CC60" i="156" s="1"/>
  <c r="CF60" i="156" s="1"/>
  <c r="CI60" i="156" s="1"/>
  <c r="CL60" i="156" s="1"/>
  <c r="CO60" i="156" s="1"/>
  <c r="CR60" i="156" s="1"/>
  <c r="CU60" i="156" s="1"/>
  <c r="CV63" i="156"/>
  <c r="DB79" i="156"/>
  <c r="DE79" i="156" s="1"/>
  <c r="CX79" i="156"/>
  <c r="CZ79" i="156" s="1"/>
  <c r="I63" i="156"/>
  <c r="L63" i="156" s="1"/>
  <c r="O63" i="156" s="1"/>
  <c r="R63" i="156" s="1"/>
  <c r="U63" i="156" s="1"/>
  <c r="X63" i="156" s="1"/>
  <c r="AA63" i="156" s="1"/>
  <c r="AD63" i="156" s="1"/>
  <c r="AG63" i="156" s="1"/>
  <c r="AJ63" i="156" s="1"/>
  <c r="AM63" i="156" s="1"/>
  <c r="AP63" i="156" s="1"/>
  <c r="AS63" i="156" s="1"/>
  <c r="AV63" i="156" s="1"/>
  <c r="AY63" i="156" s="1"/>
  <c r="BB63" i="156" s="1"/>
  <c r="BE63" i="156" s="1"/>
  <c r="BH63" i="156" s="1"/>
  <c r="BK63" i="156" s="1"/>
  <c r="BN63" i="156" s="1"/>
  <c r="BQ63" i="156" s="1"/>
  <c r="BT63" i="156" s="1"/>
  <c r="BW63" i="156" s="1"/>
  <c r="BZ63" i="156" s="1"/>
  <c r="CC63" i="156" s="1"/>
  <c r="CF63" i="156" s="1"/>
  <c r="CI63" i="156" s="1"/>
  <c r="CL63" i="156" s="1"/>
  <c r="CO63" i="156" s="1"/>
  <c r="CR63" i="156" s="1"/>
  <c r="CU63" i="156" s="1"/>
  <c r="I75" i="156"/>
  <c r="L75" i="156" s="1"/>
  <c r="O75" i="156" s="1"/>
  <c r="R75" i="156" s="1"/>
  <c r="U75" i="156" s="1"/>
  <c r="X75" i="156" s="1"/>
  <c r="AA75" i="156" s="1"/>
  <c r="AD75" i="156" s="1"/>
  <c r="AG75" i="156" s="1"/>
  <c r="AJ75" i="156" s="1"/>
  <c r="AM75" i="156" s="1"/>
  <c r="AP75" i="156" s="1"/>
  <c r="AS75" i="156" s="1"/>
  <c r="AV75" i="156" s="1"/>
  <c r="AY75" i="156" s="1"/>
  <c r="BB75" i="156" s="1"/>
  <c r="BE75" i="156" s="1"/>
  <c r="BH75" i="156" s="1"/>
  <c r="BK75" i="156" s="1"/>
  <c r="BN75" i="156" s="1"/>
  <c r="BQ75" i="156" s="1"/>
  <c r="BT75" i="156" s="1"/>
  <c r="BW75" i="156" s="1"/>
  <c r="BZ75" i="156" s="1"/>
  <c r="CC75" i="156" s="1"/>
  <c r="CF75" i="156" s="1"/>
  <c r="CI75" i="156" s="1"/>
  <c r="CL75" i="156" s="1"/>
  <c r="CO75" i="156" s="1"/>
  <c r="CR75" i="156" s="1"/>
  <c r="CU75" i="156" s="1"/>
  <c r="I77" i="156"/>
  <c r="L77" i="156" s="1"/>
  <c r="O77" i="156" s="1"/>
  <c r="R77" i="156" s="1"/>
  <c r="U77" i="156" s="1"/>
  <c r="X77" i="156" s="1"/>
  <c r="AA77" i="156" s="1"/>
  <c r="AD77" i="156" s="1"/>
  <c r="AG77" i="156" s="1"/>
  <c r="AJ77" i="156" s="1"/>
  <c r="AM77" i="156" s="1"/>
  <c r="AP77" i="156" s="1"/>
  <c r="AS77" i="156" s="1"/>
  <c r="AV77" i="156" s="1"/>
  <c r="AY77" i="156" s="1"/>
  <c r="BB77" i="156" s="1"/>
  <c r="BE77" i="156" s="1"/>
  <c r="BH77" i="156" s="1"/>
  <c r="BK77" i="156" s="1"/>
  <c r="BN77" i="156" s="1"/>
  <c r="BQ77" i="156" s="1"/>
  <c r="BT77" i="156" s="1"/>
  <c r="BW77" i="156" s="1"/>
  <c r="BZ77" i="156" s="1"/>
  <c r="CC77" i="156" s="1"/>
  <c r="CF77" i="156" s="1"/>
  <c r="CI77" i="156" s="1"/>
  <c r="CL77" i="156" s="1"/>
  <c r="CO77" i="156" s="1"/>
  <c r="CR77" i="156" s="1"/>
  <c r="CU77" i="156" s="1"/>
  <c r="CW83" i="156"/>
  <c r="CM75" i="155"/>
  <c r="CM68" i="155"/>
  <c r="CM59" i="155"/>
  <c r="CM36" i="155"/>
  <c r="CM32" i="155"/>
  <c r="CM26" i="155"/>
  <c r="CM12" i="155"/>
  <c r="CN75" i="155"/>
  <c r="CN63" i="155"/>
  <c r="CN59" i="155"/>
  <c r="CN17" i="155"/>
  <c r="CN29" i="155"/>
  <c r="CN12" i="155"/>
  <c r="CN32" i="155"/>
  <c r="CN15" i="155"/>
  <c r="CN6" i="155"/>
  <c r="CN25" i="155"/>
  <c r="CN40" i="155"/>
  <c r="CN27" i="155"/>
  <c r="CN36" i="155"/>
  <c r="CN23" i="155"/>
  <c r="CN14" i="155"/>
  <c r="CQ40" i="155"/>
  <c r="CQ27" i="155"/>
  <c r="W19" i="155"/>
  <c r="CQ58" i="155"/>
  <c r="CN48" i="155"/>
  <c r="CQ6" i="155"/>
  <c r="CM80" i="155"/>
  <c r="CN80" i="155"/>
  <c r="CN16" i="155"/>
  <c r="CD63" i="155"/>
  <c r="CK63" i="155"/>
  <c r="CD18" i="155"/>
  <c r="CN22" i="155"/>
  <c r="CN58" i="155"/>
  <c r="CN77" i="155"/>
  <c r="CJ32" i="155"/>
  <c r="CJ36" i="155"/>
  <c r="DB59" i="156" l="1"/>
  <c r="DE59" i="156" s="1"/>
  <c r="CX59" i="156"/>
  <c r="CZ59" i="156" s="1"/>
  <c r="CX73" i="156"/>
  <c r="CZ73" i="156" s="1"/>
  <c r="DB17" i="156"/>
  <c r="DE17" i="156" s="1"/>
  <c r="DB12" i="156"/>
  <c r="DE12" i="156" s="1"/>
  <c r="CX48" i="156"/>
  <c r="CZ48" i="156" s="1"/>
  <c r="CX6" i="156"/>
  <c r="CZ6" i="156" s="1"/>
  <c r="CX40" i="156"/>
  <c r="CZ40" i="156" s="1"/>
  <c r="CX13" i="156"/>
  <c r="CZ13" i="156" s="1"/>
  <c r="CX58" i="156"/>
  <c r="CZ58" i="156" s="1"/>
  <c r="CX27" i="156"/>
  <c r="CZ27" i="156" s="1"/>
  <c r="DB25" i="156"/>
  <c r="DE25" i="156" s="1"/>
  <c r="CX25" i="156"/>
  <c r="CZ25" i="156" s="1"/>
  <c r="CX60" i="156"/>
  <c r="CZ60" i="156" s="1"/>
  <c r="DB60" i="156"/>
  <c r="DE60" i="156" s="1"/>
  <c r="DB39" i="156"/>
  <c r="DE39" i="156" s="1"/>
  <c r="CX39" i="156"/>
  <c r="CZ39" i="156" s="1"/>
  <c r="DB22" i="156"/>
  <c r="DE22" i="156" s="1"/>
  <c r="CX22" i="156"/>
  <c r="CZ22" i="156" s="1"/>
  <c r="DB47" i="156"/>
  <c r="DE47" i="156" s="1"/>
  <c r="CX47" i="156"/>
  <c r="CZ47" i="156" s="1"/>
  <c r="DB29" i="156"/>
  <c r="DE29" i="156" s="1"/>
  <c r="CX29" i="156"/>
  <c r="CZ29" i="156" s="1"/>
  <c r="DB26" i="156"/>
  <c r="DE26" i="156" s="1"/>
  <c r="CX26" i="156"/>
  <c r="CZ26" i="156" s="1"/>
  <c r="DB16" i="156"/>
  <c r="DE16" i="156" s="1"/>
  <c r="CX16" i="156"/>
  <c r="CZ16" i="156" s="1"/>
  <c r="DB77" i="156"/>
  <c r="DE77" i="156" s="1"/>
  <c r="CX77" i="156"/>
  <c r="CZ77" i="156" s="1"/>
  <c r="DB75" i="156"/>
  <c r="DE75" i="156" s="1"/>
  <c r="CX75" i="156"/>
  <c r="CZ75" i="156" s="1"/>
  <c r="DB63" i="156"/>
  <c r="DE63" i="156" s="1"/>
  <c r="CX63" i="156"/>
  <c r="CZ63" i="156" s="1"/>
  <c r="DB36" i="156"/>
  <c r="DE36" i="156" s="1"/>
  <c r="CX36" i="156"/>
  <c r="CZ36" i="156" s="1"/>
  <c r="CX15" i="156"/>
  <c r="CZ15" i="156" s="1"/>
  <c r="DB15" i="156"/>
  <c r="DE15" i="156" s="1"/>
  <c r="CE63" i="155"/>
  <c r="CE28" i="155"/>
  <c r="CH40" i="155"/>
  <c r="CJ75" i="155"/>
  <c r="CK75" i="155"/>
  <c r="CJ29" i="155"/>
  <c r="CJ12" i="155"/>
  <c r="CK83" i="155"/>
  <c r="CK59" i="155"/>
  <c r="CK17" i="155"/>
  <c r="CK29" i="155"/>
  <c r="CK12" i="155"/>
  <c r="CK32" i="155"/>
  <c r="CK15" i="155"/>
  <c r="CZ94" i="156" l="1"/>
  <c r="CZ95" i="156" s="1"/>
  <c r="CK60" i="155"/>
  <c r="CK16" i="155"/>
  <c r="CK14" i="155"/>
  <c r="CH25" i="155"/>
  <c r="CE40" i="155"/>
  <c r="CD15" i="155"/>
  <c r="CK13" i="155"/>
  <c r="CK58" i="155"/>
  <c r="CK40" i="155"/>
  <c r="CK25" i="155"/>
  <c r="CK48" i="155"/>
  <c r="CK27" i="155"/>
  <c r="CK45" i="155"/>
  <c r="CK77" i="155"/>
  <c r="CK6" i="155"/>
  <c r="CH13" i="155"/>
  <c r="CH15" i="155"/>
  <c r="CH48" i="155"/>
  <c r="CH60" i="155"/>
  <c r="CH77" i="155"/>
  <c r="CH27" i="155"/>
  <c r="CH22" i="155"/>
  <c r="CH14" i="155"/>
  <c r="CH16" i="155"/>
  <c r="CH58" i="155"/>
  <c r="CH6" i="155"/>
  <c r="CK80" i="155" l="1"/>
  <c r="CE16" i="155"/>
  <c r="CE17" i="155"/>
  <c r="CD75" i="155"/>
  <c r="CD36" i="155"/>
  <c r="CD29" i="155"/>
  <c r="CD12" i="155"/>
  <c r="CE83" i="155"/>
  <c r="CE82" i="155"/>
  <c r="CE75" i="155"/>
  <c r="CE59" i="155"/>
  <c r="CE29" i="155"/>
  <c r="CE39" i="155"/>
  <c r="CE12" i="155"/>
  <c r="CE32" i="155"/>
  <c r="CE15" i="155"/>
  <c r="CE60" i="155"/>
  <c r="CE23" i="155"/>
  <c r="CE14" i="155"/>
  <c r="CA17" i="155"/>
  <c r="CE27" i="155"/>
  <c r="CE48" i="155"/>
  <c r="CE58" i="155"/>
  <c r="CE77" i="155"/>
  <c r="CE13" i="155"/>
  <c r="CE6" i="155"/>
  <c r="CE22" i="155"/>
  <c r="CE25" i="155"/>
  <c r="CE71" i="155"/>
  <c r="CA32" i="155"/>
  <c r="CB32" i="155"/>
  <c r="CB13" i="155"/>
  <c r="CB25" i="155"/>
  <c r="CA29" i="155"/>
  <c r="CA75" i="155" l="1"/>
  <c r="CA63" i="155"/>
  <c r="CA36" i="155"/>
  <c r="CA26" i="155"/>
  <c r="CA12" i="155"/>
  <c r="CB75" i="155"/>
  <c r="CB63" i="155"/>
  <c r="CB59" i="155"/>
  <c r="CB17" i="155"/>
  <c r="CB29" i="155"/>
  <c r="CB39" i="155"/>
  <c r="CB12" i="155"/>
  <c r="CB36" i="155"/>
  <c r="CB60" i="155"/>
  <c r="CB28" i="155"/>
  <c r="CB23" i="155"/>
  <c r="CB16" i="155"/>
  <c r="CB15" i="155"/>
  <c r="CB14" i="155"/>
  <c r="CB40" i="155"/>
  <c r="CB27" i="155"/>
  <c r="BU29" i="155"/>
  <c r="CB22" i="155"/>
  <c r="BR47" i="155"/>
  <c r="CB47" i="155"/>
  <c r="CB45" i="155"/>
  <c r="CB68" i="155"/>
  <c r="BU17" i="155"/>
  <c r="BV17" i="155"/>
  <c r="BV32" i="155"/>
  <c r="BU32" i="155"/>
  <c r="BU63" i="155"/>
  <c r="BV63" i="155"/>
  <c r="BU75" i="155"/>
  <c r="BU53" i="155"/>
  <c r="BU36" i="155"/>
  <c r="BV75" i="155"/>
  <c r="BV59" i="155"/>
  <c r="BV29" i="155"/>
  <c r="BV39" i="155"/>
  <c r="BV12" i="155"/>
  <c r="BV15" i="155"/>
  <c r="BV60" i="155"/>
  <c r="BV53" i="155"/>
  <c r="BV25" i="155"/>
  <c r="BV23" i="155"/>
  <c r="BV14" i="155"/>
  <c r="CB77" i="155"/>
  <c r="CB48" i="155"/>
  <c r="CB6" i="155"/>
  <c r="BV40" i="155"/>
  <c r="BV27" i="155"/>
  <c r="BR15" i="155"/>
  <c r="BV47" i="155"/>
  <c r="BV22" i="155"/>
  <c r="BV77" i="155"/>
  <c r="BV48" i="155"/>
  <c r="BV6" i="155"/>
  <c r="BR75" i="155"/>
  <c r="BV13" i="155"/>
  <c r="BS27" i="155"/>
  <c r="BR63" i="155"/>
  <c r="BS63" i="155"/>
  <c r="BS17" i="155"/>
  <c r="BR17" i="155"/>
  <c r="BS75" i="155"/>
  <c r="BR26" i="155"/>
  <c r="BR29" i="155"/>
  <c r="BR36" i="155"/>
  <c r="BR39" i="155"/>
  <c r="BR82" i="155"/>
  <c r="BS59" i="155"/>
  <c r="BS29" i="155"/>
  <c r="BS39" i="155"/>
  <c r="BS12" i="155"/>
  <c r="BS32" i="155"/>
  <c r="BS60" i="155"/>
  <c r="BS25" i="155"/>
  <c r="BS15" i="155"/>
  <c r="BS14" i="155"/>
  <c r="BS28" i="155"/>
  <c r="BS22" i="155"/>
  <c r="BO14" i="155" l="1"/>
  <c r="BO29" i="155"/>
  <c r="BS19" i="155"/>
  <c r="BS77" i="155"/>
  <c r="BS80" i="155"/>
  <c r="BS58" i="155"/>
  <c r="BS48" i="155"/>
  <c r="BS40" i="155"/>
  <c r="BS16" i="155"/>
  <c r="BS13" i="155"/>
  <c r="BP75" i="155"/>
  <c r="BO75" i="155"/>
  <c r="BJ32" i="155"/>
  <c r="BP32" i="155"/>
  <c r="BP29" i="155"/>
  <c r="BI29" i="155"/>
  <c r="BO82" i="155"/>
  <c r="BO63" i="155"/>
  <c r="BO17" i="155"/>
  <c r="BP83" i="155"/>
  <c r="BP63" i="155"/>
  <c r="BP59" i="155"/>
  <c r="BP17" i="155"/>
  <c r="BP12" i="155"/>
  <c r="BP15" i="155"/>
  <c r="BP40" i="155"/>
  <c r="BP13" i="155"/>
  <c r="BP48" i="155"/>
  <c r="BP60" i="155"/>
  <c r="BP23" i="155"/>
  <c r="BP14" i="155"/>
  <c r="BP77" i="155"/>
  <c r="BP58" i="155"/>
  <c r="BP27" i="155"/>
  <c r="BP18" i="155"/>
  <c r="BP22" i="155"/>
  <c r="BM18" i="155"/>
  <c r="BM16" i="155"/>
  <c r="BM29" i="155"/>
  <c r="BM39" i="155"/>
  <c r="BM15" i="155"/>
  <c r="BM27" i="155"/>
  <c r="BM40" i="155"/>
  <c r="BM36" i="155"/>
  <c r="BG12" i="155"/>
  <c r="BM77" i="155"/>
  <c r="BM14" i="155"/>
  <c r="BM23" i="155"/>
  <c r="BM22" i="155"/>
  <c r="BM60" i="155"/>
  <c r="BM25" i="155"/>
  <c r="BF63" i="155"/>
  <c r="BJ63" i="155"/>
  <c r="BI63" i="155"/>
  <c r="BF32" i="155" l="1"/>
  <c r="BJ27" i="155"/>
  <c r="BJ25" i="155"/>
  <c r="BJ22" i="155"/>
  <c r="BI75" i="155"/>
  <c r="BI43" i="155"/>
  <c r="BI39" i="155"/>
  <c r="BI36" i="155"/>
  <c r="BJ75" i="155"/>
  <c r="BJ59" i="155"/>
  <c r="BJ17" i="155"/>
  <c r="BJ29" i="155"/>
  <c r="BJ12" i="155"/>
  <c r="BJ15" i="155"/>
  <c r="BJ60" i="155"/>
  <c r="BJ53" i="155"/>
  <c r="BJ36" i="155"/>
  <c r="BJ23" i="155"/>
  <c r="BJ14" i="155"/>
  <c r="BF15" i="155"/>
  <c r="BJ16" i="155"/>
  <c r="BJ48" i="155"/>
  <c r="BJ46" i="155"/>
  <c r="BJ45" i="155"/>
  <c r="BJ40" i="155"/>
  <c r="BJ13" i="155"/>
  <c r="BJ77" i="155"/>
  <c r="BJ6" i="155" l="1"/>
  <c r="BF26" i="155"/>
  <c r="BG32" i="155"/>
  <c r="BF17" i="155"/>
  <c r="BG63" i="155"/>
  <c r="AZ63" i="155"/>
  <c r="BG17" i="155"/>
  <c r="AZ32" i="155"/>
  <c r="BF75" i="155"/>
  <c r="BF36" i="155"/>
  <c r="BG40" i="155"/>
  <c r="BG27" i="155"/>
  <c r="BG25" i="155"/>
  <c r="BG15" i="155"/>
  <c r="BG6" i="155"/>
  <c r="BG83" i="155"/>
  <c r="BG75" i="155"/>
  <c r="BG59" i="155"/>
  <c r="BG29" i="155"/>
  <c r="BG39" i="155"/>
  <c r="BG60" i="155"/>
  <c r="BG14" i="155"/>
  <c r="BG16" i="155"/>
  <c r="BG48" i="155"/>
  <c r="BG13" i="155"/>
  <c r="BG22" i="155"/>
  <c r="BG77" i="155"/>
  <c r="BG58" i="155"/>
  <c r="BG24" i="155"/>
  <c r="BA29" i="155"/>
  <c r="BA39" i="155"/>
  <c r="BA12" i="155"/>
  <c r="BA32" i="155"/>
  <c r="AZ39" i="155"/>
  <c r="BA26" i="155"/>
  <c r="BA17" i="155"/>
  <c r="AZ75" i="155"/>
  <c r="AZ36" i="155"/>
  <c r="AZ17" i="155"/>
  <c r="BA83" i="155"/>
  <c r="BA82" i="155"/>
  <c r="BA75" i="155"/>
  <c r="BA63" i="155"/>
  <c r="BA59" i="155"/>
  <c r="BA15" i="155"/>
  <c r="AX63" i="155"/>
  <c r="BA36" i="155"/>
  <c r="AU27" i="155"/>
  <c r="BA77" i="155"/>
  <c r="BA60" i="155"/>
  <c r="BA53" i="155"/>
  <c r="BA16" i="155" l="1"/>
  <c r="BA14" i="155"/>
  <c r="AU48" i="155"/>
  <c r="BA48" i="155"/>
  <c r="BA27" i="155"/>
  <c r="AX75" i="155"/>
  <c r="AX17" i="155"/>
  <c r="BA40" i="155"/>
  <c r="BA25" i="155"/>
  <c r="BA19" i="155"/>
  <c r="BA13" i="155"/>
  <c r="AX83" i="155"/>
  <c r="AX59" i="155"/>
  <c r="AX29" i="155"/>
  <c r="AX39" i="155"/>
  <c r="AX12" i="155"/>
  <c r="AX32" i="155"/>
  <c r="AX16" i="155"/>
  <c r="AX15" i="155"/>
  <c r="AX14" i="155"/>
  <c r="AN63" i="155"/>
  <c r="AR40" i="155"/>
  <c r="AX25" i="155"/>
  <c r="AX19" i="155"/>
  <c r="AX13" i="155"/>
  <c r="AX40" i="155"/>
  <c r="AX27" i="155"/>
  <c r="AX22" i="155"/>
  <c r="AX77" i="155"/>
  <c r="AX80" i="155"/>
  <c r="AX47" i="155"/>
  <c r="AT75" i="155"/>
  <c r="AU17" i="155"/>
  <c r="AU63" i="155"/>
  <c r="AU83" i="155"/>
  <c r="AU75" i="155"/>
  <c r="AU59" i="155"/>
  <c r="AU29" i="155"/>
  <c r="AU39" i="155"/>
  <c r="AU12" i="155"/>
  <c r="AU32" i="155"/>
  <c r="AU15" i="155"/>
  <c r="AU77" i="155"/>
  <c r="AU60" i="155"/>
  <c r="AU25" i="155"/>
  <c r="AU23" i="155"/>
  <c r="AU16" i="155"/>
  <c r="AU14" i="155"/>
  <c r="AU47" i="155"/>
  <c r="AU13" i="155"/>
  <c r="AT77" i="155"/>
  <c r="AU19" i="155"/>
  <c r="AU40" i="155"/>
  <c r="AU18" i="155"/>
  <c r="AU6" i="155"/>
  <c r="AR15" i="155"/>
  <c r="AR60" i="155"/>
  <c r="AR48" i="155"/>
  <c r="AR27" i="155"/>
  <c r="AR13" i="155"/>
  <c r="AR22" i="155"/>
  <c r="AR14" i="155"/>
  <c r="AO77" i="155"/>
  <c r="AR77" i="155"/>
  <c r="AR47" i="155"/>
  <c r="AR18" i="155"/>
  <c r="AR25" i="155"/>
  <c r="AR16" i="155"/>
  <c r="AR6" i="155"/>
  <c r="AO59" i="155"/>
  <c r="AO32" i="155"/>
  <c r="AO75" i="155"/>
  <c r="AO83" i="155"/>
  <c r="AO82" i="155"/>
  <c r="AO63" i="155"/>
  <c r="AO17" i="155"/>
  <c r="AO29" i="155"/>
  <c r="AO39" i="155"/>
  <c r="AO12" i="155"/>
  <c r="AO48" i="155"/>
  <c r="AO47" i="155"/>
  <c r="AO13" i="155"/>
  <c r="AO16" i="155"/>
  <c r="AO15" i="155"/>
  <c r="AO40" i="155"/>
  <c r="AO27" i="155"/>
  <c r="AO25" i="155"/>
  <c r="AO58" i="155"/>
  <c r="AO60" i="155"/>
  <c r="AO14" i="155"/>
  <c r="AN26" i="155"/>
  <c r="AN17" i="155"/>
  <c r="AF49" i="155"/>
  <c r="AL17" i="155"/>
  <c r="AB29" i="155"/>
  <c r="AO36" i="155"/>
  <c r="AO49" i="155"/>
  <c r="AO26" i="155"/>
  <c r="AO8" i="155"/>
  <c r="AO23" i="155"/>
  <c r="AO53" i="155"/>
  <c r="AO56" i="155"/>
  <c r="AL75" i="155"/>
  <c r="AL63" i="155"/>
  <c r="AL59" i="155" l="1"/>
  <c r="AL29" i="155"/>
  <c r="AL39" i="155"/>
  <c r="AL12" i="155"/>
  <c r="AL32" i="155"/>
  <c r="AL15" i="155"/>
  <c r="AL77" i="155" l="1"/>
  <c r="AL60" i="155"/>
  <c r="AL55" i="155"/>
  <c r="AL53" i="155"/>
  <c r="AL36" i="155"/>
  <c r="AL25" i="155"/>
  <c r="AL23" i="155"/>
  <c r="AL16" i="155"/>
  <c r="AL14" i="155"/>
  <c r="AO22" i="155"/>
  <c r="AO6" i="155"/>
  <c r="AL40" i="155" l="1"/>
  <c r="AL27" i="155"/>
  <c r="AL6" i="155"/>
  <c r="AF32" i="155"/>
  <c r="AE32" i="155"/>
  <c r="AQ32" i="155"/>
  <c r="AT32" i="155"/>
  <c r="AE75" i="155"/>
  <c r="AE59" i="155"/>
  <c r="AE53" i="155"/>
  <c r="AE36" i="155"/>
  <c r="AE29" i="155"/>
  <c r="AE17" i="155"/>
  <c r="AE12" i="155"/>
  <c r="AN12" i="155"/>
  <c r="AK12" i="155"/>
  <c r="AF83" i="155"/>
  <c r="AF75" i="155"/>
  <c r="AF63" i="155"/>
  <c r="AF59" i="155"/>
  <c r="AF17" i="155"/>
  <c r="AF29" i="155"/>
  <c r="AF39" i="155"/>
  <c r="AF12" i="155"/>
  <c r="AF15" i="155"/>
  <c r="AF53" i="155"/>
  <c r="AF36" i="155"/>
  <c r="AF23" i="155"/>
  <c r="AF16" i="155"/>
  <c r="AF14" i="155"/>
  <c r="AF40" i="155" l="1"/>
  <c r="AF27" i="155"/>
  <c r="AF25" i="155"/>
  <c r="AF6" i="155"/>
  <c r="AN36" i="155"/>
  <c r="AK36" i="155"/>
  <c r="AN32" i="155"/>
  <c r="AK63" i="155"/>
  <c r="AK32" i="155"/>
  <c r="AK17" i="155"/>
  <c r="AF22" i="155"/>
  <c r="AF48" i="155"/>
  <c r="AF47" i="155"/>
  <c r="AF13" i="155"/>
  <c r="AB75" i="155"/>
  <c r="AC75" i="155"/>
  <c r="AC17" i="155"/>
  <c r="Y17" i="155"/>
  <c r="AB17" i="155"/>
  <c r="AB63" i="155"/>
  <c r="AB36" i="155"/>
  <c r="AB32" i="155"/>
  <c r="AB26" i="155"/>
  <c r="AB12" i="155"/>
  <c r="AC82" i="155"/>
  <c r="AC63" i="155"/>
  <c r="AC59" i="155"/>
  <c r="AC29" i="155"/>
  <c r="AC12" i="155"/>
  <c r="AC32" i="155"/>
  <c r="AC77" i="155"/>
  <c r="AC60" i="155"/>
  <c r="AC53" i="155"/>
  <c r="AC23" i="155"/>
  <c r="AC15" i="155"/>
  <c r="AC14" i="155"/>
  <c r="Y15" i="155"/>
  <c r="T26" i="155"/>
  <c r="AC40" i="155"/>
  <c r="AC22" i="155"/>
  <c r="AC27" i="155"/>
  <c r="AC80" i="155"/>
  <c r="AC48" i="155"/>
  <c r="AC16" i="155"/>
  <c r="AC58" i="155"/>
  <c r="AC25" i="155"/>
  <c r="Z13" i="155"/>
  <c r="Z15" i="155"/>
  <c r="Z36" i="155"/>
  <c r="Y63" i="155"/>
  <c r="Z32" i="155"/>
  <c r="Y75" i="155"/>
  <c r="Z75" i="155"/>
  <c r="Z17" i="155"/>
  <c r="Y39" i="155"/>
  <c r="Y36" i="155"/>
  <c r="Y29" i="155"/>
  <c r="Y12" i="155"/>
  <c r="Z63" i="155" l="1"/>
  <c r="Z59" i="155"/>
  <c r="Z29" i="155"/>
  <c r="Z12" i="155"/>
  <c r="Z40" i="155"/>
  <c r="Z27" i="155"/>
  <c r="Z25" i="155"/>
  <c r="W40" i="155"/>
  <c r="W32" i="155"/>
  <c r="W15" i="155"/>
  <c r="Z60" i="155"/>
  <c r="Z53" i="155"/>
  <c r="Z26" i="155"/>
  <c r="Z23" i="155"/>
  <c r="Z16" i="155"/>
  <c r="Z14" i="155"/>
  <c r="Z48" i="155"/>
  <c r="Z80" i="155"/>
  <c r="Z22" i="155"/>
  <c r="Z77" i="155"/>
  <c r="Z58" i="155"/>
  <c r="Z18" i="155"/>
  <c r="W68" i="155"/>
  <c r="W18" i="155"/>
  <c r="W39" i="155"/>
  <c r="W16" i="155"/>
  <c r="W77" i="155"/>
  <c r="W27" i="155"/>
  <c r="W14" i="155"/>
  <c r="W60" i="155"/>
  <c r="W25" i="155"/>
  <c r="T49" i="155"/>
  <c r="S15" i="155"/>
  <c r="T32" i="155"/>
  <c r="S75" i="155" l="1"/>
  <c r="S36" i="155"/>
  <c r="S32" i="155"/>
  <c r="S29" i="155"/>
  <c r="S23" i="155"/>
  <c r="S12" i="155"/>
  <c r="T83" i="155"/>
  <c r="T75" i="155"/>
  <c r="T63" i="155"/>
  <c r="T59" i="155"/>
  <c r="P59" i="155"/>
  <c r="T29" i="155"/>
  <c r="T39" i="155"/>
  <c r="T12" i="155"/>
  <c r="T77" i="155"/>
  <c r="T60" i="155"/>
  <c r="T25" i="155"/>
  <c r="T15" i="155"/>
  <c r="T23" i="155"/>
  <c r="T14" i="155"/>
  <c r="T27" i="155"/>
  <c r="T40" i="155"/>
  <c r="T16" i="155"/>
  <c r="T13" i="155"/>
  <c r="T48" i="155"/>
  <c r="T45" i="155"/>
  <c r="T6" i="155"/>
  <c r="T43" i="155"/>
  <c r="P36" i="155"/>
  <c r="T71" i="155"/>
  <c r="T22" i="155"/>
  <c r="Q32" i="155"/>
  <c r="J63" i="155"/>
  <c r="P77" i="155"/>
  <c r="P75" i="155"/>
  <c r="P60" i="155"/>
  <c r="P32" i="155"/>
  <c r="P29" i="155"/>
  <c r="P26" i="155"/>
  <c r="Q83" i="155" l="1"/>
  <c r="Q75" i="155"/>
  <c r="Q63" i="155"/>
  <c r="Q59" i="155"/>
  <c r="Q17" i="155"/>
  <c r="Q29" i="155"/>
  <c r="Q39" i="155"/>
  <c r="Q12" i="155"/>
  <c r="Q23" i="155"/>
  <c r="Q16" i="155"/>
  <c r="Q15" i="155"/>
  <c r="Q14" i="155"/>
  <c r="Q58" i="155"/>
  <c r="Q40" i="155"/>
  <c r="Q27" i="155"/>
  <c r="Q24" i="155"/>
  <c r="K59" i="155"/>
  <c r="K14" i="155"/>
  <c r="J14" i="155"/>
  <c r="Q13" i="155"/>
  <c r="Q47" i="155"/>
  <c r="Q48" i="155"/>
  <c r="Q73" i="155"/>
  <c r="Q6" i="155"/>
  <c r="Q45" i="155"/>
  <c r="Q22" i="155"/>
  <c r="Q77" i="155"/>
  <c r="K36" i="155"/>
  <c r="J17" i="155"/>
  <c r="K17" i="155"/>
  <c r="G17" i="155"/>
  <c r="J75" i="155"/>
  <c r="K75" i="155"/>
  <c r="K63" i="155"/>
  <c r="J32" i="155"/>
  <c r="J60" i="155" l="1"/>
  <c r="J59" i="155"/>
  <c r="J45" i="155"/>
  <c r="J36" i="155"/>
  <c r="J29" i="155"/>
  <c r="J15" i="155"/>
  <c r="J12" i="155"/>
  <c r="K83" i="155"/>
  <c r="K29" i="155"/>
  <c r="K39" i="155"/>
  <c r="K12" i="155"/>
  <c r="K32" i="155"/>
  <c r="K15" i="155"/>
  <c r="G77" i="155"/>
  <c r="CT77" i="154"/>
  <c r="K25" i="155"/>
  <c r="K40" i="155"/>
  <c r="K27" i="155"/>
  <c r="K6" i="155"/>
  <c r="G29" i="155"/>
  <c r="K77" i="155"/>
  <c r="K60" i="155"/>
  <c r="K48" i="155" l="1"/>
  <c r="K47" i="155"/>
  <c r="K13" i="155"/>
  <c r="K22" i="155"/>
  <c r="K16" i="155"/>
  <c r="G63" i="155"/>
  <c r="H83" i="155"/>
  <c r="H59" i="155"/>
  <c r="H17" i="155"/>
  <c r="G12" i="155"/>
  <c r="G32" i="155"/>
  <c r="G75" i="155"/>
  <c r="G60" i="155"/>
  <c r="G53" i="155"/>
  <c r="G39" i="155"/>
  <c r="G36" i="155"/>
  <c r="G26" i="155"/>
  <c r="G22" i="155"/>
  <c r="G14" i="155"/>
  <c r="H29" i="155" l="1"/>
  <c r="H32" i="155"/>
  <c r="H18" i="155"/>
  <c r="CT63" i="154" l="1"/>
  <c r="H15" i="155"/>
  <c r="H63" i="155"/>
  <c r="CV60" i="155"/>
  <c r="CS60" i="154"/>
  <c r="CV53" i="155"/>
  <c r="H27" i="155"/>
  <c r="I27" i="155" s="1"/>
  <c r="H25" i="155"/>
  <c r="CW25" i="155" s="1"/>
  <c r="CV22" i="155"/>
  <c r="H16" i="155"/>
  <c r="I16" i="155" s="1"/>
  <c r="L16" i="155" s="1"/>
  <c r="O16" i="155" s="1"/>
  <c r="R16" i="155" s="1"/>
  <c r="U16" i="155" s="1"/>
  <c r="X16" i="155" s="1"/>
  <c r="AA16" i="155" s="1"/>
  <c r="AD16" i="155" s="1"/>
  <c r="AG16" i="155" s="1"/>
  <c r="AJ16" i="155" s="1"/>
  <c r="AM16" i="155" s="1"/>
  <c r="AP16" i="155" s="1"/>
  <c r="AS16" i="155" s="1"/>
  <c r="AV16" i="155" s="1"/>
  <c r="AY16" i="155" s="1"/>
  <c r="BB16" i="155" s="1"/>
  <c r="BE16" i="155" s="1"/>
  <c r="BH16" i="155" s="1"/>
  <c r="BK16" i="155" s="1"/>
  <c r="BN16" i="155" s="1"/>
  <c r="BQ16" i="155" s="1"/>
  <c r="BT16" i="155" s="1"/>
  <c r="BW16" i="155" s="1"/>
  <c r="BZ16" i="155" s="1"/>
  <c r="CC16" i="155" s="1"/>
  <c r="CF16" i="155" s="1"/>
  <c r="CI16" i="155" s="1"/>
  <c r="CL16" i="155" s="1"/>
  <c r="CO16" i="155" s="1"/>
  <c r="CR16" i="155" s="1"/>
  <c r="CU16" i="155" s="1"/>
  <c r="H14" i="155"/>
  <c r="I14" i="155" s="1"/>
  <c r="L14" i="155" s="1"/>
  <c r="H77" i="155"/>
  <c r="I77" i="155" s="1"/>
  <c r="CT27" i="154"/>
  <c r="H80" i="155"/>
  <c r="I80" i="155" s="1"/>
  <c r="L80" i="155" s="1"/>
  <c r="O80" i="155" s="1"/>
  <c r="H75" i="155"/>
  <c r="H40" i="155"/>
  <c r="H39" i="155"/>
  <c r="I39" i="155" s="1"/>
  <c r="L39" i="155" s="1"/>
  <c r="O39" i="155" s="1"/>
  <c r="R39" i="155" s="1"/>
  <c r="U39" i="155" s="1"/>
  <c r="X39" i="155" s="1"/>
  <c r="AA39" i="155" s="1"/>
  <c r="AD39" i="155" s="1"/>
  <c r="AG39" i="155" s="1"/>
  <c r="AJ39" i="155" s="1"/>
  <c r="AM39" i="155" s="1"/>
  <c r="AP39" i="155" s="1"/>
  <c r="AS39" i="155" s="1"/>
  <c r="AV39" i="155" s="1"/>
  <c r="AY39" i="155" s="1"/>
  <c r="BB39" i="155" s="1"/>
  <c r="BE39" i="155" s="1"/>
  <c r="BH39" i="155" s="1"/>
  <c r="BK39" i="155" s="1"/>
  <c r="BN39" i="155" s="1"/>
  <c r="BQ39" i="155" s="1"/>
  <c r="BT39" i="155" s="1"/>
  <c r="BW39" i="155" s="1"/>
  <c r="BZ39" i="155" s="1"/>
  <c r="CC39" i="155" s="1"/>
  <c r="CF39" i="155" s="1"/>
  <c r="CI39" i="155" s="1"/>
  <c r="CL39" i="155" s="1"/>
  <c r="CO39" i="155" s="1"/>
  <c r="CR39" i="155" s="1"/>
  <c r="CU39" i="155" s="1"/>
  <c r="H22" i="155"/>
  <c r="H12" i="155"/>
  <c r="CP18" i="154"/>
  <c r="BF26" i="154"/>
  <c r="CP22" i="154"/>
  <c r="CP15" i="154"/>
  <c r="CS27" i="154"/>
  <c r="CS63" i="154"/>
  <c r="CT17" i="154"/>
  <c r="CS75" i="154"/>
  <c r="CS58" i="154"/>
  <c r="CS53" i="154"/>
  <c r="CS43" i="154"/>
  <c r="CS36" i="154"/>
  <c r="CS32" i="154"/>
  <c r="CS29" i="154"/>
  <c r="CS12" i="154"/>
  <c r="CT75" i="154"/>
  <c r="CT59" i="154"/>
  <c r="CT29" i="154"/>
  <c r="CT12" i="154"/>
  <c r="CT32" i="154"/>
  <c r="CT15" i="154"/>
  <c r="CN77" i="154"/>
  <c r="CT80" i="154"/>
  <c r="CT48" i="154"/>
  <c r="CT47" i="154"/>
  <c r="CT13" i="154"/>
  <c r="CT60" i="154"/>
  <c r="CT53" i="154"/>
  <c r="CT36" i="154"/>
  <c r="CT16" i="154"/>
  <c r="CT14" i="154"/>
  <c r="CM43" i="154"/>
  <c r="CT25" i="154"/>
  <c r="CT40" i="154"/>
  <c r="CQ27" i="154"/>
  <c r="CT19" i="154"/>
  <c r="CT58" i="154"/>
  <c r="CT18" i="154"/>
  <c r="CT45" i="154"/>
  <c r="CQ32" i="154"/>
  <c r="CQ16" i="154"/>
  <c r="CQ68" i="154"/>
  <c r="CW93" i="155"/>
  <c r="CV93" i="155"/>
  <c r="I93" i="155"/>
  <c r="L93" i="155" s="1"/>
  <c r="O93" i="155" s="1"/>
  <c r="R93" i="155" s="1"/>
  <c r="U93" i="155" s="1"/>
  <c r="X93" i="155" s="1"/>
  <c r="AA93" i="155" s="1"/>
  <c r="AD93" i="155" s="1"/>
  <c r="AG93" i="155" s="1"/>
  <c r="AJ93" i="155" s="1"/>
  <c r="AM93" i="155" s="1"/>
  <c r="AP93" i="155" s="1"/>
  <c r="AS93" i="155" s="1"/>
  <c r="AV93" i="155" s="1"/>
  <c r="AY93" i="155" s="1"/>
  <c r="BB93" i="155" s="1"/>
  <c r="BE93" i="155" s="1"/>
  <c r="BH93" i="155" s="1"/>
  <c r="BK93" i="155" s="1"/>
  <c r="BN93" i="155" s="1"/>
  <c r="BQ93" i="155" s="1"/>
  <c r="BT93" i="155" s="1"/>
  <c r="BW93" i="155" s="1"/>
  <c r="BZ93" i="155" s="1"/>
  <c r="CC93" i="155" s="1"/>
  <c r="CF93" i="155" s="1"/>
  <c r="CI93" i="155" s="1"/>
  <c r="CL93" i="155" s="1"/>
  <c r="CO93" i="155" s="1"/>
  <c r="CR93" i="155" s="1"/>
  <c r="CU93" i="155" s="1"/>
  <c r="CW92" i="155"/>
  <c r="CV92" i="155"/>
  <c r="I92" i="155"/>
  <c r="L92" i="155" s="1"/>
  <c r="O92" i="155" s="1"/>
  <c r="R92" i="155" s="1"/>
  <c r="U92" i="155" s="1"/>
  <c r="X92" i="155" s="1"/>
  <c r="AA92" i="155" s="1"/>
  <c r="AD92" i="155" s="1"/>
  <c r="AG92" i="155" s="1"/>
  <c r="AJ92" i="155" s="1"/>
  <c r="AM92" i="155" s="1"/>
  <c r="AP92" i="155" s="1"/>
  <c r="AS92" i="155" s="1"/>
  <c r="AV92" i="155" s="1"/>
  <c r="AY92" i="155" s="1"/>
  <c r="BB92" i="155" s="1"/>
  <c r="BE92" i="155" s="1"/>
  <c r="BH92" i="155" s="1"/>
  <c r="BK92" i="155" s="1"/>
  <c r="BN92" i="155" s="1"/>
  <c r="BQ92" i="155" s="1"/>
  <c r="BT92" i="155" s="1"/>
  <c r="BW92" i="155" s="1"/>
  <c r="BZ92" i="155" s="1"/>
  <c r="CC92" i="155" s="1"/>
  <c r="CF92" i="155" s="1"/>
  <c r="CI92" i="155" s="1"/>
  <c r="CL92" i="155" s="1"/>
  <c r="CO92" i="155" s="1"/>
  <c r="CR92" i="155" s="1"/>
  <c r="CU92" i="155" s="1"/>
  <c r="CW91" i="155"/>
  <c r="CV91" i="155"/>
  <c r="I91" i="155"/>
  <c r="L91" i="155" s="1"/>
  <c r="O91" i="155" s="1"/>
  <c r="R91" i="155" s="1"/>
  <c r="U91" i="155" s="1"/>
  <c r="X91" i="155" s="1"/>
  <c r="AA91" i="155" s="1"/>
  <c r="AD91" i="155" s="1"/>
  <c r="AG91" i="155" s="1"/>
  <c r="AJ91" i="155" s="1"/>
  <c r="AM91" i="155" s="1"/>
  <c r="AP91" i="155" s="1"/>
  <c r="AS91" i="155" s="1"/>
  <c r="AV91" i="155" s="1"/>
  <c r="AY91" i="155" s="1"/>
  <c r="BB91" i="155" s="1"/>
  <c r="BE91" i="155" s="1"/>
  <c r="BH91" i="155" s="1"/>
  <c r="BK91" i="155" s="1"/>
  <c r="BN91" i="155" s="1"/>
  <c r="BQ91" i="155" s="1"/>
  <c r="BT91" i="155" s="1"/>
  <c r="BW91" i="155" s="1"/>
  <c r="BZ91" i="155" s="1"/>
  <c r="CC91" i="155" s="1"/>
  <c r="CF91" i="155" s="1"/>
  <c r="CI91" i="155" s="1"/>
  <c r="CL91" i="155" s="1"/>
  <c r="CO91" i="155" s="1"/>
  <c r="CR91" i="155" s="1"/>
  <c r="CU91" i="155" s="1"/>
  <c r="CW90" i="155"/>
  <c r="CV90" i="155"/>
  <c r="I90" i="155"/>
  <c r="L90" i="155" s="1"/>
  <c r="O90" i="155" s="1"/>
  <c r="R90" i="155" s="1"/>
  <c r="U90" i="155" s="1"/>
  <c r="X90" i="155" s="1"/>
  <c r="AA90" i="155" s="1"/>
  <c r="AD90" i="155" s="1"/>
  <c r="AG90" i="155" s="1"/>
  <c r="AJ90" i="155" s="1"/>
  <c r="AM90" i="155" s="1"/>
  <c r="AP90" i="155" s="1"/>
  <c r="AS90" i="155" s="1"/>
  <c r="AV90" i="155" s="1"/>
  <c r="AY90" i="155" s="1"/>
  <c r="BB90" i="155" s="1"/>
  <c r="BE90" i="155" s="1"/>
  <c r="BH90" i="155" s="1"/>
  <c r="BK90" i="155" s="1"/>
  <c r="BN90" i="155" s="1"/>
  <c r="BQ90" i="155" s="1"/>
  <c r="BT90" i="155" s="1"/>
  <c r="BW90" i="155" s="1"/>
  <c r="BZ90" i="155" s="1"/>
  <c r="CC90" i="155" s="1"/>
  <c r="CF90" i="155" s="1"/>
  <c r="CI90" i="155" s="1"/>
  <c r="CL90" i="155" s="1"/>
  <c r="CO90" i="155" s="1"/>
  <c r="CR90" i="155" s="1"/>
  <c r="CU90" i="155" s="1"/>
  <c r="CW89" i="155"/>
  <c r="CV89" i="155"/>
  <c r="I89" i="155"/>
  <c r="L89" i="155" s="1"/>
  <c r="O89" i="155" s="1"/>
  <c r="R89" i="155" s="1"/>
  <c r="U89" i="155" s="1"/>
  <c r="X89" i="155" s="1"/>
  <c r="AA89" i="155" s="1"/>
  <c r="AD89" i="155" s="1"/>
  <c r="AG89" i="155" s="1"/>
  <c r="AJ89" i="155" s="1"/>
  <c r="AM89" i="155" s="1"/>
  <c r="AP89" i="155" s="1"/>
  <c r="AS89" i="155" s="1"/>
  <c r="AV89" i="155" s="1"/>
  <c r="AY89" i="155" s="1"/>
  <c r="BB89" i="155" s="1"/>
  <c r="BE89" i="155" s="1"/>
  <c r="BH89" i="155" s="1"/>
  <c r="BK89" i="155" s="1"/>
  <c r="BN89" i="155" s="1"/>
  <c r="BQ89" i="155" s="1"/>
  <c r="BT89" i="155" s="1"/>
  <c r="BW89" i="155" s="1"/>
  <c r="BZ89" i="155" s="1"/>
  <c r="CC89" i="155" s="1"/>
  <c r="CF89" i="155" s="1"/>
  <c r="CI89" i="155" s="1"/>
  <c r="CL89" i="155" s="1"/>
  <c r="CO89" i="155" s="1"/>
  <c r="CR89" i="155" s="1"/>
  <c r="CU89" i="155" s="1"/>
  <c r="CW88" i="155"/>
  <c r="CV88" i="155"/>
  <c r="I88" i="155"/>
  <c r="L88" i="155" s="1"/>
  <c r="O88" i="155" s="1"/>
  <c r="R88" i="155" s="1"/>
  <c r="U88" i="155" s="1"/>
  <c r="X88" i="155" s="1"/>
  <c r="AA88" i="155" s="1"/>
  <c r="AD88" i="155" s="1"/>
  <c r="AG88" i="155" s="1"/>
  <c r="AJ88" i="155" s="1"/>
  <c r="AM88" i="155" s="1"/>
  <c r="AP88" i="155" s="1"/>
  <c r="AS88" i="155" s="1"/>
  <c r="AV88" i="155" s="1"/>
  <c r="AY88" i="155" s="1"/>
  <c r="BB88" i="155" s="1"/>
  <c r="BE88" i="155" s="1"/>
  <c r="BH88" i="155" s="1"/>
  <c r="BK88" i="155" s="1"/>
  <c r="BN88" i="155" s="1"/>
  <c r="BQ88" i="155" s="1"/>
  <c r="BT88" i="155" s="1"/>
  <c r="BW88" i="155" s="1"/>
  <c r="BZ88" i="155" s="1"/>
  <c r="CC88" i="155" s="1"/>
  <c r="CF88" i="155" s="1"/>
  <c r="CI88" i="155" s="1"/>
  <c r="CL88" i="155" s="1"/>
  <c r="CO88" i="155" s="1"/>
  <c r="CR88" i="155" s="1"/>
  <c r="CU88" i="155" s="1"/>
  <c r="CW87" i="155"/>
  <c r="CV87" i="155"/>
  <c r="I87" i="155"/>
  <c r="L87" i="155" s="1"/>
  <c r="O87" i="155" s="1"/>
  <c r="R87" i="155" s="1"/>
  <c r="U87" i="155" s="1"/>
  <c r="X87" i="155" s="1"/>
  <c r="AA87" i="155" s="1"/>
  <c r="AD87" i="155" s="1"/>
  <c r="AG87" i="155" s="1"/>
  <c r="AJ87" i="155" s="1"/>
  <c r="AM87" i="155" s="1"/>
  <c r="AP87" i="155" s="1"/>
  <c r="AS87" i="155" s="1"/>
  <c r="AV87" i="155" s="1"/>
  <c r="AY87" i="155" s="1"/>
  <c r="BB87" i="155" s="1"/>
  <c r="BE87" i="155" s="1"/>
  <c r="BH87" i="155" s="1"/>
  <c r="BK87" i="155" s="1"/>
  <c r="BN87" i="155" s="1"/>
  <c r="BQ87" i="155" s="1"/>
  <c r="BT87" i="155" s="1"/>
  <c r="BW87" i="155" s="1"/>
  <c r="BZ87" i="155" s="1"/>
  <c r="CC87" i="155" s="1"/>
  <c r="CF87" i="155" s="1"/>
  <c r="CI87" i="155" s="1"/>
  <c r="CL87" i="155" s="1"/>
  <c r="CO87" i="155" s="1"/>
  <c r="CR87" i="155" s="1"/>
  <c r="CU87" i="155" s="1"/>
  <c r="CW86" i="155"/>
  <c r="CV86" i="155"/>
  <c r="I86" i="155"/>
  <c r="L86" i="155" s="1"/>
  <c r="O86" i="155" s="1"/>
  <c r="R86" i="155" s="1"/>
  <c r="U86" i="155" s="1"/>
  <c r="X86" i="155" s="1"/>
  <c r="AA86" i="155" s="1"/>
  <c r="AD86" i="155" s="1"/>
  <c r="AG86" i="155" s="1"/>
  <c r="AJ86" i="155" s="1"/>
  <c r="AM86" i="155" s="1"/>
  <c r="AP86" i="155" s="1"/>
  <c r="AS86" i="155" s="1"/>
  <c r="AV86" i="155" s="1"/>
  <c r="AY86" i="155" s="1"/>
  <c r="BB86" i="155" s="1"/>
  <c r="BE86" i="155" s="1"/>
  <c r="BH86" i="155" s="1"/>
  <c r="BK86" i="155" s="1"/>
  <c r="BN86" i="155" s="1"/>
  <c r="BQ86" i="155" s="1"/>
  <c r="BT86" i="155" s="1"/>
  <c r="BW86" i="155" s="1"/>
  <c r="BZ86" i="155" s="1"/>
  <c r="CC86" i="155" s="1"/>
  <c r="CF86" i="155" s="1"/>
  <c r="CI86" i="155" s="1"/>
  <c r="CL86" i="155" s="1"/>
  <c r="CO86" i="155" s="1"/>
  <c r="CR86" i="155" s="1"/>
  <c r="CU86" i="155" s="1"/>
  <c r="CW85" i="155"/>
  <c r="CV85" i="155"/>
  <c r="I85" i="155"/>
  <c r="L85" i="155" s="1"/>
  <c r="O85" i="155" s="1"/>
  <c r="R85" i="155" s="1"/>
  <c r="U85" i="155" s="1"/>
  <c r="X85" i="155" s="1"/>
  <c r="AA85" i="155" s="1"/>
  <c r="AD85" i="155" s="1"/>
  <c r="AG85" i="155" s="1"/>
  <c r="AJ85" i="155" s="1"/>
  <c r="AM85" i="155" s="1"/>
  <c r="AP85" i="155" s="1"/>
  <c r="AS85" i="155" s="1"/>
  <c r="AV85" i="155" s="1"/>
  <c r="AY85" i="155" s="1"/>
  <c r="BB85" i="155" s="1"/>
  <c r="BE85" i="155" s="1"/>
  <c r="BH85" i="155" s="1"/>
  <c r="BK85" i="155" s="1"/>
  <c r="BN85" i="155" s="1"/>
  <c r="BQ85" i="155" s="1"/>
  <c r="BT85" i="155" s="1"/>
  <c r="BW85" i="155" s="1"/>
  <c r="BZ85" i="155" s="1"/>
  <c r="CC85" i="155" s="1"/>
  <c r="CF85" i="155" s="1"/>
  <c r="CI85" i="155" s="1"/>
  <c r="CL85" i="155" s="1"/>
  <c r="CO85" i="155" s="1"/>
  <c r="CR85" i="155" s="1"/>
  <c r="CU85" i="155" s="1"/>
  <c r="CW84" i="155"/>
  <c r="CV84" i="155"/>
  <c r="I84" i="155"/>
  <c r="L84" i="155" s="1"/>
  <c r="O84" i="155" s="1"/>
  <c r="R84" i="155" s="1"/>
  <c r="U84" i="155" s="1"/>
  <c r="X84" i="155" s="1"/>
  <c r="AA84" i="155" s="1"/>
  <c r="AD84" i="155" s="1"/>
  <c r="AG84" i="155" s="1"/>
  <c r="AJ84" i="155" s="1"/>
  <c r="AM84" i="155" s="1"/>
  <c r="AP84" i="155" s="1"/>
  <c r="AS84" i="155" s="1"/>
  <c r="AV84" i="155" s="1"/>
  <c r="AY84" i="155" s="1"/>
  <c r="BB84" i="155" s="1"/>
  <c r="BE84" i="155" s="1"/>
  <c r="BH84" i="155" s="1"/>
  <c r="BK84" i="155" s="1"/>
  <c r="BN84" i="155" s="1"/>
  <c r="BQ84" i="155" s="1"/>
  <c r="BT84" i="155" s="1"/>
  <c r="BW84" i="155" s="1"/>
  <c r="BZ84" i="155" s="1"/>
  <c r="CC84" i="155" s="1"/>
  <c r="CF84" i="155" s="1"/>
  <c r="CI84" i="155" s="1"/>
  <c r="CL84" i="155" s="1"/>
  <c r="CO84" i="155" s="1"/>
  <c r="CR84" i="155" s="1"/>
  <c r="CU84" i="155" s="1"/>
  <c r="CV83" i="155"/>
  <c r="I83" i="155"/>
  <c r="L83" i="155" s="1"/>
  <c r="O83" i="155" s="1"/>
  <c r="R83" i="155" s="1"/>
  <c r="U83" i="155" s="1"/>
  <c r="X83" i="155" s="1"/>
  <c r="AA83" i="155" s="1"/>
  <c r="AD83" i="155" s="1"/>
  <c r="AG83" i="155" s="1"/>
  <c r="AJ83" i="155" s="1"/>
  <c r="AM83" i="155" s="1"/>
  <c r="AP83" i="155" s="1"/>
  <c r="AS83" i="155" s="1"/>
  <c r="AV83" i="155" s="1"/>
  <c r="AY83" i="155" s="1"/>
  <c r="BB83" i="155" s="1"/>
  <c r="BE83" i="155" s="1"/>
  <c r="BH83" i="155" s="1"/>
  <c r="BK83" i="155" s="1"/>
  <c r="BN83" i="155" s="1"/>
  <c r="BQ83" i="155" s="1"/>
  <c r="BT83" i="155" s="1"/>
  <c r="BW83" i="155" s="1"/>
  <c r="BZ83" i="155" s="1"/>
  <c r="CC83" i="155" s="1"/>
  <c r="CF83" i="155" s="1"/>
  <c r="CI83" i="155" s="1"/>
  <c r="CL83" i="155" s="1"/>
  <c r="CO83" i="155" s="1"/>
  <c r="CR83" i="155" s="1"/>
  <c r="CU83" i="155" s="1"/>
  <c r="CW82" i="155"/>
  <c r="CV82" i="155"/>
  <c r="I82" i="155"/>
  <c r="L82" i="155" s="1"/>
  <c r="O82" i="155" s="1"/>
  <c r="R82" i="155" s="1"/>
  <c r="U82" i="155" s="1"/>
  <c r="X82" i="155" s="1"/>
  <c r="AA82" i="155" s="1"/>
  <c r="AD82" i="155" s="1"/>
  <c r="AG82" i="155" s="1"/>
  <c r="AJ82" i="155" s="1"/>
  <c r="AM82" i="155" s="1"/>
  <c r="AP82" i="155" s="1"/>
  <c r="AS82" i="155" s="1"/>
  <c r="AV82" i="155" s="1"/>
  <c r="AY82" i="155" s="1"/>
  <c r="BB82" i="155" s="1"/>
  <c r="BE82" i="155" s="1"/>
  <c r="BH82" i="155" s="1"/>
  <c r="BK82" i="155" s="1"/>
  <c r="BN82" i="155" s="1"/>
  <c r="BQ82" i="155" s="1"/>
  <c r="BT82" i="155" s="1"/>
  <c r="BW82" i="155" s="1"/>
  <c r="BZ82" i="155" s="1"/>
  <c r="CC82" i="155" s="1"/>
  <c r="CF82" i="155" s="1"/>
  <c r="CI82" i="155" s="1"/>
  <c r="CL82" i="155" s="1"/>
  <c r="CO82" i="155" s="1"/>
  <c r="CR82" i="155" s="1"/>
  <c r="CU82" i="155" s="1"/>
  <c r="CW81" i="155"/>
  <c r="CV81" i="155"/>
  <c r="I81" i="155"/>
  <c r="L81" i="155" s="1"/>
  <c r="O81" i="155" s="1"/>
  <c r="R81" i="155" s="1"/>
  <c r="U81" i="155" s="1"/>
  <c r="X81" i="155" s="1"/>
  <c r="AA81" i="155" s="1"/>
  <c r="AD81" i="155" s="1"/>
  <c r="AG81" i="155" s="1"/>
  <c r="AJ81" i="155" s="1"/>
  <c r="AM81" i="155" s="1"/>
  <c r="AP81" i="155" s="1"/>
  <c r="AS81" i="155" s="1"/>
  <c r="AV81" i="155" s="1"/>
  <c r="AY81" i="155" s="1"/>
  <c r="BB81" i="155" s="1"/>
  <c r="BE81" i="155" s="1"/>
  <c r="BH81" i="155" s="1"/>
  <c r="BK81" i="155" s="1"/>
  <c r="BN81" i="155" s="1"/>
  <c r="BQ81" i="155" s="1"/>
  <c r="BT81" i="155" s="1"/>
  <c r="BW81" i="155" s="1"/>
  <c r="BZ81" i="155" s="1"/>
  <c r="CC81" i="155" s="1"/>
  <c r="CF81" i="155" s="1"/>
  <c r="CI81" i="155" s="1"/>
  <c r="CL81" i="155" s="1"/>
  <c r="CO81" i="155" s="1"/>
  <c r="CR81" i="155" s="1"/>
  <c r="CU81" i="155" s="1"/>
  <c r="CV80" i="155"/>
  <c r="CW79" i="155"/>
  <c r="CV79" i="155"/>
  <c r="I79" i="155"/>
  <c r="L79" i="155" s="1"/>
  <c r="O79" i="155" s="1"/>
  <c r="R79" i="155" s="1"/>
  <c r="U79" i="155" s="1"/>
  <c r="X79" i="155" s="1"/>
  <c r="AA79" i="155" s="1"/>
  <c r="AD79" i="155" s="1"/>
  <c r="AG79" i="155" s="1"/>
  <c r="AJ79" i="155" s="1"/>
  <c r="AM79" i="155" s="1"/>
  <c r="AP79" i="155" s="1"/>
  <c r="AS79" i="155" s="1"/>
  <c r="AV79" i="155" s="1"/>
  <c r="AY79" i="155" s="1"/>
  <c r="BB79" i="155" s="1"/>
  <c r="BE79" i="155" s="1"/>
  <c r="BH79" i="155" s="1"/>
  <c r="BK79" i="155" s="1"/>
  <c r="BN79" i="155" s="1"/>
  <c r="BQ79" i="155" s="1"/>
  <c r="BT79" i="155" s="1"/>
  <c r="BW79" i="155" s="1"/>
  <c r="BZ79" i="155" s="1"/>
  <c r="CC79" i="155" s="1"/>
  <c r="CF79" i="155" s="1"/>
  <c r="CI79" i="155" s="1"/>
  <c r="CL79" i="155" s="1"/>
  <c r="CO79" i="155" s="1"/>
  <c r="CR79" i="155" s="1"/>
  <c r="CU79" i="155" s="1"/>
  <c r="CZ78" i="155"/>
  <c r="CW78" i="155"/>
  <c r="CV78" i="155"/>
  <c r="I78" i="155"/>
  <c r="L78" i="155" s="1"/>
  <c r="O78" i="155" s="1"/>
  <c r="R78" i="155" s="1"/>
  <c r="U78" i="155" s="1"/>
  <c r="X78" i="155" s="1"/>
  <c r="AA78" i="155" s="1"/>
  <c r="AD78" i="155" s="1"/>
  <c r="AG78" i="155" s="1"/>
  <c r="AJ78" i="155" s="1"/>
  <c r="AM78" i="155" s="1"/>
  <c r="AP78" i="155" s="1"/>
  <c r="AS78" i="155" s="1"/>
  <c r="AV78" i="155" s="1"/>
  <c r="AY78" i="155" s="1"/>
  <c r="BB78" i="155" s="1"/>
  <c r="BE78" i="155" s="1"/>
  <c r="BH78" i="155" s="1"/>
  <c r="BK78" i="155" s="1"/>
  <c r="BN78" i="155" s="1"/>
  <c r="BQ78" i="155" s="1"/>
  <c r="BT78" i="155" s="1"/>
  <c r="BW78" i="155" s="1"/>
  <c r="BZ78" i="155" s="1"/>
  <c r="CC78" i="155" s="1"/>
  <c r="CF78" i="155" s="1"/>
  <c r="CI78" i="155" s="1"/>
  <c r="CL78" i="155" s="1"/>
  <c r="CO78" i="155" s="1"/>
  <c r="CR78" i="155" s="1"/>
  <c r="CU78" i="155" s="1"/>
  <c r="DB78" i="155" s="1"/>
  <c r="DE78" i="155" s="1"/>
  <c r="CV77" i="155"/>
  <c r="CW76" i="155"/>
  <c r="CV76" i="155"/>
  <c r="I76" i="155"/>
  <c r="L76" i="155" s="1"/>
  <c r="O76" i="155" s="1"/>
  <c r="R76" i="155" s="1"/>
  <c r="U76" i="155" s="1"/>
  <c r="X76" i="155" s="1"/>
  <c r="AA76" i="155" s="1"/>
  <c r="AD76" i="155" s="1"/>
  <c r="AG76" i="155" s="1"/>
  <c r="AJ76" i="155" s="1"/>
  <c r="AM76" i="155" s="1"/>
  <c r="AP76" i="155" s="1"/>
  <c r="AS76" i="155" s="1"/>
  <c r="AV76" i="155" s="1"/>
  <c r="AY76" i="155" s="1"/>
  <c r="BB76" i="155" s="1"/>
  <c r="BE76" i="155" s="1"/>
  <c r="BH76" i="155" s="1"/>
  <c r="BK76" i="155" s="1"/>
  <c r="BN76" i="155" s="1"/>
  <c r="BQ76" i="155" s="1"/>
  <c r="BT76" i="155" s="1"/>
  <c r="BW76" i="155" s="1"/>
  <c r="BZ76" i="155" s="1"/>
  <c r="CC76" i="155" s="1"/>
  <c r="CF76" i="155" s="1"/>
  <c r="CI76" i="155" s="1"/>
  <c r="CL76" i="155" s="1"/>
  <c r="CO76" i="155" s="1"/>
  <c r="CR76" i="155" s="1"/>
  <c r="CU76" i="155" s="1"/>
  <c r="CW74" i="155"/>
  <c r="CV74" i="155"/>
  <c r="I74" i="155"/>
  <c r="L74" i="155" s="1"/>
  <c r="O74" i="155" s="1"/>
  <c r="R74" i="155" s="1"/>
  <c r="U74" i="155" s="1"/>
  <c r="X74" i="155" s="1"/>
  <c r="AA74" i="155" s="1"/>
  <c r="AD74" i="155" s="1"/>
  <c r="AG74" i="155" s="1"/>
  <c r="AJ74" i="155" s="1"/>
  <c r="AM74" i="155" s="1"/>
  <c r="AP74" i="155" s="1"/>
  <c r="AS74" i="155" s="1"/>
  <c r="AV74" i="155" s="1"/>
  <c r="AY74" i="155" s="1"/>
  <c r="BB74" i="155" s="1"/>
  <c r="BE74" i="155" s="1"/>
  <c r="BH74" i="155" s="1"/>
  <c r="BK74" i="155" s="1"/>
  <c r="BN74" i="155" s="1"/>
  <c r="BQ74" i="155" s="1"/>
  <c r="BT74" i="155" s="1"/>
  <c r="BW74" i="155" s="1"/>
  <c r="BZ74" i="155" s="1"/>
  <c r="CC74" i="155" s="1"/>
  <c r="CF74" i="155" s="1"/>
  <c r="CI74" i="155" s="1"/>
  <c r="CL74" i="155" s="1"/>
  <c r="CO74" i="155" s="1"/>
  <c r="CR74" i="155" s="1"/>
  <c r="CU74" i="155" s="1"/>
  <c r="CW73" i="155"/>
  <c r="CV73" i="155"/>
  <c r="I73" i="155"/>
  <c r="L73" i="155" s="1"/>
  <c r="O73" i="155" s="1"/>
  <c r="R73" i="155" s="1"/>
  <c r="U73" i="155" s="1"/>
  <c r="X73" i="155" s="1"/>
  <c r="AA73" i="155" s="1"/>
  <c r="AD73" i="155" s="1"/>
  <c r="AG73" i="155" s="1"/>
  <c r="AJ73" i="155" s="1"/>
  <c r="AM73" i="155" s="1"/>
  <c r="AP73" i="155" s="1"/>
  <c r="AS73" i="155" s="1"/>
  <c r="AV73" i="155" s="1"/>
  <c r="AY73" i="155" s="1"/>
  <c r="BB73" i="155" s="1"/>
  <c r="BE73" i="155" s="1"/>
  <c r="BH73" i="155" s="1"/>
  <c r="BK73" i="155" s="1"/>
  <c r="BN73" i="155" s="1"/>
  <c r="BQ73" i="155" s="1"/>
  <c r="BT73" i="155" s="1"/>
  <c r="BW73" i="155" s="1"/>
  <c r="BZ73" i="155" s="1"/>
  <c r="CC73" i="155" s="1"/>
  <c r="CF73" i="155" s="1"/>
  <c r="CI73" i="155" s="1"/>
  <c r="CL73" i="155" s="1"/>
  <c r="CO73" i="155" s="1"/>
  <c r="CR73" i="155" s="1"/>
  <c r="CU73" i="155" s="1"/>
  <c r="CW72" i="155"/>
  <c r="CV72" i="155"/>
  <c r="I72" i="155"/>
  <c r="L72" i="155" s="1"/>
  <c r="O72" i="155" s="1"/>
  <c r="R72" i="155" s="1"/>
  <c r="U72" i="155" s="1"/>
  <c r="X72" i="155" s="1"/>
  <c r="AA72" i="155" s="1"/>
  <c r="AD72" i="155" s="1"/>
  <c r="AG72" i="155" s="1"/>
  <c r="AJ72" i="155" s="1"/>
  <c r="AM72" i="155" s="1"/>
  <c r="AP72" i="155" s="1"/>
  <c r="AS72" i="155" s="1"/>
  <c r="AV72" i="155" s="1"/>
  <c r="AY72" i="155" s="1"/>
  <c r="BB72" i="155" s="1"/>
  <c r="BE72" i="155" s="1"/>
  <c r="BH72" i="155" s="1"/>
  <c r="BK72" i="155" s="1"/>
  <c r="BN72" i="155" s="1"/>
  <c r="BQ72" i="155" s="1"/>
  <c r="BT72" i="155" s="1"/>
  <c r="BW72" i="155" s="1"/>
  <c r="BZ72" i="155" s="1"/>
  <c r="CC72" i="155" s="1"/>
  <c r="CF72" i="155" s="1"/>
  <c r="CI72" i="155" s="1"/>
  <c r="CL72" i="155" s="1"/>
  <c r="CO72" i="155" s="1"/>
  <c r="CR72" i="155" s="1"/>
  <c r="CU72" i="155" s="1"/>
  <c r="CV71" i="155"/>
  <c r="CW71" i="155"/>
  <c r="I71" i="155"/>
  <c r="L71" i="155" s="1"/>
  <c r="O71" i="155" s="1"/>
  <c r="R71" i="155" s="1"/>
  <c r="U71" i="155" s="1"/>
  <c r="X71" i="155" s="1"/>
  <c r="AA71" i="155" s="1"/>
  <c r="AD71" i="155" s="1"/>
  <c r="AG71" i="155" s="1"/>
  <c r="AJ71" i="155" s="1"/>
  <c r="AM71" i="155" s="1"/>
  <c r="AP71" i="155" s="1"/>
  <c r="AS71" i="155" s="1"/>
  <c r="AV71" i="155" s="1"/>
  <c r="AY71" i="155" s="1"/>
  <c r="BB71" i="155" s="1"/>
  <c r="BE71" i="155" s="1"/>
  <c r="BH71" i="155" s="1"/>
  <c r="BK71" i="155" s="1"/>
  <c r="BN71" i="155" s="1"/>
  <c r="BQ71" i="155" s="1"/>
  <c r="BT71" i="155" s="1"/>
  <c r="BW71" i="155" s="1"/>
  <c r="BZ71" i="155" s="1"/>
  <c r="CC71" i="155" s="1"/>
  <c r="CF71" i="155" s="1"/>
  <c r="CI71" i="155" s="1"/>
  <c r="CL71" i="155" s="1"/>
  <c r="CO71" i="155" s="1"/>
  <c r="CR71" i="155" s="1"/>
  <c r="CU71" i="155" s="1"/>
  <c r="CW70" i="155"/>
  <c r="CV70" i="155"/>
  <c r="I70" i="155"/>
  <c r="L70" i="155" s="1"/>
  <c r="O70" i="155" s="1"/>
  <c r="R70" i="155" s="1"/>
  <c r="U70" i="155" s="1"/>
  <c r="X70" i="155" s="1"/>
  <c r="AA70" i="155" s="1"/>
  <c r="AD70" i="155" s="1"/>
  <c r="AG70" i="155" s="1"/>
  <c r="AJ70" i="155" s="1"/>
  <c r="AM70" i="155" s="1"/>
  <c r="AP70" i="155" s="1"/>
  <c r="AS70" i="155" s="1"/>
  <c r="AV70" i="155" s="1"/>
  <c r="AY70" i="155" s="1"/>
  <c r="BB70" i="155" s="1"/>
  <c r="BE70" i="155" s="1"/>
  <c r="BH70" i="155" s="1"/>
  <c r="BK70" i="155" s="1"/>
  <c r="BN70" i="155" s="1"/>
  <c r="BQ70" i="155" s="1"/>
  <c r="BT70" i="155" s="1"/>
  <c r="BW70" i="155" s="1"/>
  <c r="BZ70" i="155" s="1"/>
  <c r="CC70" i="155" s="1"/>
  <c r="CF70" i="155" s="1"/>
  <c r="CI70" i="155" s="1"/>
  <c r="CL70" i="155" s="1"/>
  <c r="CO70" i="155" s="1"/>
  <c r="CR70" i="155" s="1"/>
  <c r="CU70" i="155" s="1"/>
  <c r="CW69" i="155"/>
  <c r="CV69" i="155"/>
  <c r="I69" i="155"/>
  <c r="L69" i="155" s="1"/>
  <c r="O69" i="155" s="1"/>
  <c r="R69" i="155" s="1"/>
  <c r="U69" i="155" s="1"/>
  <c r="X69" i="155" s="1"/>
  <c r="AA69" i="155" s="1"/>
  <c r="AD69" i="155" s="1"/>
  <c r="AG69" i="155" s="1"/>
  <c r="AJ69" i="155" s="1"/>
  <c r="AM69" i="155" s="1"/>
  <c r="AP69" i="155" s="1"/>
  <c r="AS69" i="155" s="1"/>
  <c r="AV69" i="155" s="1"/>
  <c r="AY69" i="155" s="1"/>
  <c r="BB69" i="155" s="1"/>
  <c r="BE69" i="155" s="1"/>
  <c r="BH69" i="155" s="1"/>
  <c r="BK69" i="155" s="1"/>
  <c r="BN69" i="155" s="1"/>
  <c r="BQ69" i="155" s="1"/>
  <c r="BT69" i="155" s="1"/>
  <c r="BW69" i="155" s="1"/>
  <c r="BZ69" i="155" s="1"/>
  <c r="CC69" i="155" s="1"/>
  <c r="CF69" i="155" s="1"/>
  <c r="CI69" i="155" s="1"/>
  <c r="CL69" i="155" s="1"/>
  <c r="CO69" i="155" s="1"/>
  <c r="CR69" i="155" s="1"/>
  <c r="CU69" i="155" s="1"/>
  <c r="CW68" i="155"/>
  <c r="CV68" i="155"/>
  <c r="I68" i="155"/>
  <c r="L68" i="155" s="1"/>
  <c r="O68" i="155" s="1"/>
  <c r="R68" i="155" s="1"/>
  <c r="U68" i="155" s="1"/>
  <c r="X68" i="155" s="1"/>
  <c r="AA68" i="155" s="1"/>
  <c r="AD68" i="155" s="1"/>
  <c r="AG68" i="155" s="1"/>
  <c r="AJ68" i="155" s="1"/>
  <c r="AM68" i="155" s="1"/>
  <c r="AP68" i="155" s="1"/>
  <c r="AS68" i="155" s="1"/>
  <c r="AV68" i="155" s="1"/>
  <c r="AY68" i="155" s="1"/>
  <c r="BB68" i="155" s="1"/>
  <c r="BE68" i="155" s="1"/>
  <c r="BH68" i="155" s="1"/>
  <c r="BK68" i="155" s="1"/>
  <c r="BN68" i="155" s="1"/>
  <c r="BQ68" i="155" s="1"/>
  <c r="BT68" i="155" s="1"/>
  <c r="BW68" i="155" s="1"/>
  <c r="BZ68" i="155" s="1"/>
  <c r="CC68" i="155" s="1"/>
  <c r="CF68" i="155" s="1"/>
  <c r="CI68" i="155" s="1"/>
  <c r="CL68" i="155" s="1"/>
  <c r="CO68" i="155" s="1"/>
  <c r="CW67" i="155"/>
  <c r="CV67" i="155"/>
  <c r="I67" i="155"/>
  <c r="L67" i="155" s="1"/>
  <c r="O67" i="155" s="1"/>
  <c r="R67" i="155" s="1"/>
  <c r="U67" i="155" s="1"/>
  <c r="X67" i="155" s="1"/>
  <c r="AA67" i="155" s="1"/>
  <c r="AD67" i="155" s="1"/>
  <c r="AG67" i="155" s="1"/>
  <c r="AJ67" i="155" s="1"/>
  <c r="AM67" i="155" s="1"/>
  <c r="AP67" i="155" s="1"/>
  <c r="AS67" i="155" s="1"/>
  <c r="AV67" i="155" s="1"/>
  <c r="AY67" i="155" s="1"/>
  <c r="BB67" i="155" s="1"/>
  <c r="BE67" i="155" s="1"/>
  <c r="BH67" i="155" s="1"/>
  <c r="BK67" i="155" s="1"/>
  <c r="BN67" i="155" s="1"/>
  <c r="BQ67" i="155" s="1"/>
  <c r="BT67" i="155" s="1"/>
  <c r="BW67" i="155" s="1"/>
  <c r="BZ67" i="155" s="1"/>
  <c r="CC67" i="155" s="1"/>
  <c r="CF67" i="155" s="1"/>
  <c r="CI67" i="155" s="1"/>
  <c r="CL67" i="155" s="1"/>
  <c r="CO67" i="155" s="1"/>
  <c r="CR67" i="155" s="1"/>
  <c r="CU67" i="155" s="1"/>
  <c r="CX67" i="155" s="1"/>
  <c r="CZ67" i="155" s="1"/>
  <c r="CW66" i="155"/>
  <c r="CV66" i="155"/>
  <c r="I66" i="155"/>
  <c r="L66" i="155" s="1"/>
  <c r="O66" i="155" s="1"/>
  <c r="R66" i="155" s="1"/>
  <c r="U66" i="155" s="1"/>
  <c r="X66" i="155" s="1"/>
  <c r="AA66" i="155" s="1"/>
  <c r="AD66" i="155" s="1"/>
  <c r="AG66" i="155" s="1"/>
  <c r="AJ66" i="155" s="1"/>
  <c r="AM66" i="155" s="1"/>
  <c r="AP66" i="155" s="1"/>
  <c r="AS66" i="155" s="1"/>
  <c r="AV66" i="155" s="1"/>
  <c r="AY66" i="155" s="1"/>
  <c r="BB66" i="155" s="1"/>
  <c r="BE66" i="155" s="1"/>
  <c r="BH66" i="155" s="1"/>
  <c r="BK66" i="155" s="1"/>
  <c r="BN66" i="155" s="1"/>
  <c r="BQ66" i="155" s="1"/>
  <c r="BT66" i="155" s="1"/>
  <c r="BW66" i="155" s="1"/>
  <c r="BZ66" i="155" s="1"/>
  <c r="CC66" i="155" s="1"/>
  <c r="CF66" i="155" s="1"/>
  <c r="CI66" i="155" s="1"/>
  <c r="CL66" i="155" s="1"/>
  <c r="CO66" i="155" s="1"/>
  <c r="CR66" i="155" s="1"/>
  <c r="CU66" i="155" s="1"/>
  <c r="CW65" i="155"/>
  <c r="CV65" i="155"/>
  <c r="I65" i="155"/>
  <c r="L65" i="155" s="1"/>
  <c r="O65" i="155" s="1"/>
  <c r="R65" i="155" s="1"/>
  <c r="U65" i="155" s="1"/>
  <c r="X65" i="155" s="1"/>
  <c r="AA65" i="155" s="1"/>
  <c r="AD65" i="155" s="1"/>
  <c r="AG65" i="155" s="1"/>
  <c r="AJ65" i="155" s="1"/>
  <c r="AM65" i="155" s="1"/>
  <c r="AP65" i="155" s="1"/>
  <c r="AS65" i="155" s="1"/>
  <c r="AV65" i="155" s="1"/>
  <c r="AY65" i="155" s="1"/>
  <c r="BB65" i="155" s="1"/>
  <c r="BE65" i="155" s="1"/>
  <c r="BH65" i="155" s="1"/>
  <c r="BK65" i="155" s="1"/>
  <c r="BN65" i="155" s="1"/>
  <c r="BQ65" i="155" s="1"/>
  <c r="BT65" i="155" s="1"/>
  <c r="BW65" i="155" s="1"/>
  <c r="BZ65" i="155" s="1"/>
  <c r="CC65" i="155" s="1"/>
  <c r="CF65" i="155" s="1"/>
  <c r="CI65" i="155" s="1"/>
  <c r="CL65" i="155" s="1"/>
  <c r="CO65" i="155" s="1"/>
  <c r="CR65" i="155" s="1"/>
  <c r="CU65" i="155" s="1"/>
  <c r="CW64" i="155"/>
  <c r="CV64" i="155"/>
  <c r="I64" i="155"/>
  <c r="L64" i="155" s="1"/>
  <c r="O64" i="155" s="1"/>
  <c r="R64" i="155" s="1"/>
  <c r="U64" i="155" s="1"/>
  <c r="X64" i="155" s="1"/>
  <c r="AA64" i="155" s="1"/>
  <c r="AD64" i="155" s="1"/>
  <c r="AG64" i="155" s="1"/>
  <c r="AJ64" i="155" s="1"/>
  <c r="AM64" i="155" s="1"/>
  <c r="AP64" i="155" s="1"/>
  <c r="AS64" i="155" s="1"/>
  <c r="AV64" i="155" s="1"/>
  <c r="AY64" i="155" s="1"/>
  <c r="BB64" i="155" s="1"/>
  <c r="BE64" i="155" s="1"/>
  <c r="BH64" i="155" s="1"/>
  <c r="BK64" i="155" s="1"/>
  <c r="BN64" i="155" s="1"/>
  <c r="BQ64" i="155" s="1"/>
  <c r="BT64" i="155" s="1"/>
  <c r="BW64" i="155" s="1"/>
  <c r="BZ64" i="155" s="1"/>
  <c r="CC64" i="155" s="1"/>
  <c r="CF64" i="155" s="1"/>
  <c r="CI64" i="155" s="1"/>
  <c r="CL64" i="155" s="1"/>
  <c r="CO64" i="155" s="1"/>
  <c r="CR64" i="155" s="1"/>
  <c r="CU64" i="155" s="1"/>
  <c r="CV63" i="155"/>
  <c r="CW63" i="155"/>
  <c r="CW62" i="155"/>
  <c r="CV62" i="155"/>
  <c r="I62" i="155"/>
  <c r="L62" i="155" s="1"/>
  <c r="O62" i="155" s="1"/>
  <c r="R62" i="155" s="1"/>
  <c r="U62" i="155" s="1"/>
  <c r="X62" i="155" s="1"/>
  <c r="AA62" i="155" s="1"/>
  <c r="AD62" i="155" s="1"/>
  <c r="AG62" i="155" s="1"/>
  <c r="AJ62" i="155" s="1"/>
  <c r="AM62" i="155" s="1"/>
  <c r="AP62" i="155" s="1"/>
  <c r="AS62" i="155" s="1"/>
  <c r="AV62" i="155" s="1"/>
  <c r="AY62" i="155" s="1"/>
  <c r="BB62" i="155" s="1"/>
  <c r="BE62" i="155" s="1"/>
  <c r="BH62" i="155" s="1"/>
  <c r="BK62" i="155" s="1"/>
  <c r="BN62" i="155" s="1"/>
  <c r="BQ62" i="155" s="1"/>
  <c r="BT62" i="155" s="1"/>
  <c r="BW62" i="155" s="1"/>
  <c r="BZ62" i="155" s="1"/>
  <c r="CC62" i="155" s="1"/>
  <c r="CF62" i="155" s="1"/>
  <c r="CI62" i="155" s="1"/>
  <c r="CL62" i="155" s="1"/>
  <c r="CO62" i="155" s="1"/>
  <c r="CR62" i="155" s="1"/>
  <c r="CU62" i="155" s="1"/>
  <c r="CW61" i="155"/>
  <c r="CV61" i="155"/>
  <c r="I61" i="155"/>
  <c r="L61" i="155" s="1"/>
  <c r="O61" i="155" s="1"/>
  <c r="R61" i="155" s="1"/>
  <c r="U61" i="155" s="1"/>
  <c r="X61" i="155" s="1"/>
  <c r="AA61" i="155" s="1"/>
  <c r="AD61" i="155" s="1"/>
  <c r="AG61" i="155" s="1"/>
  <c r="AJ61" i="155" s="1"/>
  <c r="AM61" i="155" s="1"/>
  <c r="AP61" i="155" s="1"/>
  <c r="AS61" i="155" s="1"/>
  <c r="AV61" i="155" s="1"/>
  <c r="AY61" i="155" s="1"/>
  <c r="BB61" i="155" s="1"/>
  <c r="BE61" i="155" s="1"/>
  <c r="BH61" i="155" s="1"/>
  <c r="BK61" i="155" s="1"/>
  <c r="BN61" i="155" s="1"/>
  <c r="BQ61" i="155" s="1"/>
  <c r="BT61" i="155" s="1"/>
  <c r="BW61" i="155" s="1"/>
  <c r="BZ61" i="155" s="1"/>
  <c r="CC61" i="155" s="1"/>
  <c r="CF61" i="155" s="1"/>
  <c r="CI61" i="155" s="1"/>
  <c r="CL61" i="155" s="1"/>
  <c r="CO61" i="155" s="1"/>
  <c r="CR61" i="155" s="1"/>
  <c r="CU61" i="155" s="1"/>
  <c r="I60" i="155"/>
  <c r="CW59" i="155"/>
  <c r="I59" i="155"/>
  <c r="L59" i="155" s="1"/>
  <c r="O59" i="155" s="1"/>
  <c r="R59" i="155" s="1"/>
  <c r="CV59" i="155"/>
  <c r="CV58" i="155"/>
  <c r="I58" i="155"/>
  <c r="L58" i="155" s="1"/>
  <c r="O58" i="155" s="1"/>
  <c r="R58" i="155" s="1"/>
  <c r="U58" i="155" s="1"/>
  <c r="X58" i="155" s="1"/>
  <c r="AA58" i="155" s="1"/>
  <c r="AD58" i="155" s="1"/>
  <c r="AG58" i="155" s="1"/>
  <c r="CW57" i="155"/>
  <c r="CV57" i="155"/>
  <c r="I57" i="155"/>
  <c r="L57" i="155" s="1"/>
  <c r="O57" i="155" s="1"/>
  <c r="R57" i="155" s="1"/>
  <c r="U57" i="155" s="1"/>
  <c r="X57" i="155" s="1"/>
  <c r="AA57" i="155" s="1"/>
  <c r="AD57" i="155" s="1"/>
  <c r="AG57" i="155" s="1"/>
  <c r="AJ57" i="155" s="1"/>
  <c r="AM57" i="155" s="1"/>
  <c r="AP57" i="155" s="1"/>
  <c r="AS57" i="155" s="1"/>
  <c r="AV57" i="155" s="1"/>
  <c r="AY57" i="155" s="1"/>
  <c r="BB57" i="155" s="1"/>
  <c r="BE57" i="155" s="1"/>
  <c r="BH57" i="155" s="1"/>
  <c r="BK57" i="155" s="1"/>
  <c r="BN57" i="155" s="1"/>
  <c r="BQ57" i="155" s="1"/>
  <c r="BT57" i="155" s="1"/>
  <c r="BW57" i="155" s="1"/>
  <c r="BZ57" i="155" s="1"/>
  <c r="CC57" i="155" s="1"/>
  <c r="CF57" i="155" s="1"/>
  <c r="CI57" i="155" s="1"/>
  <c r="CL57" i="155" s="1"/>
  <c r="CO57" i="155" s="1"/>
  <c r="CR57" i="155" s="1"/>
  <c r="CU57" i="155" s="1"/>
  <c r="CW56" i="155"/>
  <c r="CV56" i="155"/>
  <c r="I56" i="155"/>
  <c r="L56" i="155" s="1"/>
  <c r="O56" i="155" s="1"/>
  <c r="R56" i="155" s="1"/>
  <c r="U56" i="155" s="1"/>
  <c r="X56" i="155" s="1"/>
  <c r="AA56" i="155" s="1"/>
  <c r="AD56" i="155" s="1"/>
  <c r="AG56" i="155" s="1"/>
  <c r="AJ56" i="155" s="1"/>
  <c r="AM56" i="155" s="1"/>
  <c r="AP56" i="155" s="1"/>
  <c r="AS56" i="155" s="1"/>
  <c r="AV56" i="155" s="1"/>
  <c r="AY56" i="155" s="1"/>
  <c r="BB56" i="155" s="1"/>
  <c r="BE56" i="155" s="1"/>
  <c r="BH56" i="155" s="1"/>
  <c r="BK56" i="155" s="1"/>
  <c r="BN56" i="155" s="1"/>
  <c r="BQ56" i="155" s="1"/>
  <c r="BT56" i="155" s="1"/>
  <c r="BW56" i="155" s="1"/>
  <c r="BZ56" i="155" s="1"/>
  <c r="CC56" i="155" s="1"/>
  <c r="CF56" i="155" s="1"/>
  <c r="CI56" i="155" s="1"/>
  <c r="CL56" i="155" s="1"/>
  <c r="CO56" i="155" s="1"/>
  <c r="CR56" i="155" s="1"/>
  <c r="CU56" i="155" s="1"/>
  <c r="CX56" i="155" s="1"/>
  <c r="CZ56" i="155" s="1"/>
  <c r="CW55" i="155"/>
  <c r="CV55" i="155"/>
  <c r="I55" i="155"/>
  <c r="L55" i="155" s="1"/>
  <c r="O55" i="155" s="1"/>
  <c r="R55" i="155" s="1"/>
  <c r="U55" i="155" s="1"/>
  <c r="X55" i="155" s="1"/>
  <c r="AA55" i="155" s="1"/>
  <c r="AD55" i="155" s="1"/>
  <c r="AG55" i="155" s="1"/>
  <c r="AJ55" i="155" s="1"/>
  <c r="AM55" i="155" s="1"/>
  <c r="AP55" i="155" s="1"/>
  <c r="AS55" i="155" s="1"/>
  <c r="AV55" i="155" s="1"/>
  <c r="AY55" i="155" s="1"/>
  <c r="BB55" i="155" s="1"/>
  <c r="BE55" i="155" s="1"/>
  <c r="BH55" i="155" s="1"/>
  <c r="BK55" i="155" s="1"/>
  <c r="BN55" i="155" s="1"/>
  <c r="BQ55" i="155" s="1"/>
  <c r="BT55" i="155" s="1"/>
  <c r="BW55" i="155" s="1"/>
  <c r="BZ55" i="155" s="1"/>
  <c r="CC55" i="155" s="1"/>
  <c r="CF55" i="155" s="1"/>
  <c r="CI55" i="155" s="1"/>
  <c r="CL55" i="155" s="1"/>
  <c r="CO55" i="155" s="1"/>
  <c r="CR55" i="155" s="1"/>
  <c r="CU55" i="155" s="1"/>
  <c r="CW54" i="155"/>
  <c r="CV54" i="155"/>
  <c r="I54" i="155"/>
  <c r="L54" i="155" s="1"/>
  <c r="O54" i="155" s="1"/>
  <c r="R54" i="155" s="1"/>
  <c r="U54" i="155" s="1"/>
  <c r="X54" i="155" s="1"/>
  <c r="AA54" i="155" s="1"/>
  <c r="AD54" i="155" s="1"/>
  <c r="AG54" i="155" s="1"/>
  <c r="AJ54" i="155" s="1"/>
  <c r="AM54" i="155" s="1"/>
  <c r="AP54" i="155" s="1"/>
  <c r="AS54" i="155" s="1"/>
  <c r="AV54" i="155" s="1"/>
  <c r="AY54" i="155" s="1"/>
  <c r="BB54" i="155" s="1"/>
  <c r="BE54" i="155" s="1"/>
  <c r="BH54" i="155" s="1"/>
  <c r="BK54" i="155" s="1"/>
  <c r="BN54" i="155" s="1"/>
  <c r="BQ54" i="155" s="1"/>
  <c r="BT54" i="155" s="1"/>
  <c r="BW54" i="155" s="1"/>
  <c r="BZ54" i="155" s="1"/>
  <c r="CC54" i="155" s="1"/>
  <c r="CF54" i="155" s="1"/>
  <c r="CI54" i="155" s="1"/>
  <c r="CL54" i="155" s="1"/>
  <c r="CO54" i="155" s="1"/>
  <c r="CR54" i="155" s="1"/>
  <c r="CU54" i="155" s="1"/>
  <c r="CW53" i="155"/>
  <c r="I53" i="155"/>
  <c r="L53" i="155" s="1"/>
  <c r="O53" i="155" s="1"/>
  <c r="R53" i="155" s="1"/>
  <c r="U53" i="155" s="1"/>
  <c r="X53" i="155" s="1"/>
  <c r="AA53" i="155" s="1"/>
  <c r="AD53" i="155" s="1"/>
  <c r="AG53" i="155" s="1"/>
  <c r="AJ53" i="155" s="1"/>
  <c r="AM53" i="155" s="1"/>
  <c r="AP53" i="155" s="1"/>
  <c r="AS53" i="155" s="1"/>
  <c r="AV53" i="155" s="1"/>
  <c r="AY53" i="155" s="1"/>
  <c r="BB53" i="155" s="1"/>
  <c r="BE53" i="155" s="1"/>
  <c r="BH53" i="155" s="1"/>
  <c r="BK53" i="155" s="1"/>
  <c r="BN53" i="155" s="1"/>
  <c r="BQ53" i="155" s="1"/>
  <c r="BT53" i="155" s="1"/>
  <c r="BW53" i="155" s="1"/>
  <c r="BZ53" i="155" s="1"/>
  <c r="CC53" i="155" s="1"/>
  <c r="CF53" i="155" s="1"/>
  <c r="CI53" i="155" s="1"/>
  <c r="CL53" i="155" s="1"/>
  <c r="CO53" i="155" s="1"/>
  <c r="CR53" i="155" s="1"/>
  <c r="CU53" i="155" s="1"/>
  <c r="CW52" i="155"/>
  <c r="CV52" i="155"/>
  <c r="I52" i="155"/>
  <c r="L52" i="155" s="1"/>
  <c r="O52" i="155" s="1"/>
  <c r="R52" i="155" s="1"/>
  <c r="U52" i="155" s="1"/>
  <c r="X52" i="155" s="1"/>
  <c r="AA52" i="155" s="1"/>
  <c r="AD52" i="155" s="1"/>
  <c r="AG52" i="155" s="1"/>
  <c r="AJ52" i="155" s="1"/>
  <c r="AM52" i="155" s="1"/>
  <c r="AP52" i="155" s="1"/>
  <c r="AS52" i="155" s="1"/>
  <c r="AV52" i="155" s="1"/>
  <c r="AY52" i="155" s="1"/>
  <c r="BB52" i="155" s="1"/>
  <c r="BE52" i="155" s="1"/>
  <c r="BH52" i="155" s="1"/>
  <c r="BK52" i="155" s="1"/>
  <c r="BN52" i="155" s="1"/>
  <c r="BQ52" i="155" s="1"/>
  <c r="BT52" i="155" s="1"/>
  <c r="BW52" i="155" s="1"/>
  <c r="BZ52" i="155" s="1"/>
  <c r="CC52" i="155" s="1"/>
  <c r="CF52" i="155" s="1"/>
  <c r="CI52" i="155" s="1"/>
  <c r="CL52" i="155" s="1"/>
  <c r="CO52" i="155" s="1"/>
  <c r="CR52" i="155" s="1"/>
  <c r="CU52" i="155" s="1"/>
  <c r="CW51" i="155"/>
  <c r="CV51" i="155"/>
  <c r="I51" i="155"/>
  <c r="L51" i="155" s="1"/>
  <c r="O51" i="155" s="1"/>
  <c r="R51" i="155" s="1"/>
  <c r="U51" i="155" s="1"/>
  <c r="X51" i="155" s="1"/>
  <c r="AA51" i="155" s="1"/>
  <c r="AD51" i="155" s="1"/>
  <c r="AG51" i="155" s="1"/>
  <c r="AJ51" i="155" s="1"/>
  <c r="AM51" i="155" s="1"/>
  <c r="AP51" i="155" s="1"/>
  <c r="AS51" i="155" s="1"/>
  <c r="AV51" i="155" s="1"/>
  <c r="AY51" i="155" s="1"/>
  <c r="BB51" i="155" s="1"/>
  <c r="BE51" i="155" s="1"/>
  <c r="BH51" i="155" s="1"/>
  <c r="BK51" i="155" s="1"/>
  <c r="BN51" i="155" s="1"/>
  <c r="BQ51" i="155" s="1"/>
  <c r="BT51" i="155" s="1"/>
  <c r="BW51" i="155" s="1"/>
  <c r="BZ51" i="155" s="1"/>
  <c r="CC51" i="155" s="1"/>
  <c r="CF51" i="155" s="1"/>
  <c r="CI51" i="155" s="1"/>
  <c r="CL51" i="155" s="1"/>
  <c r="CO51" i="155" s="1"/>
  <c r="CR51" i="155" s="1"/>
  <c r="CU51" i="155" s="1"/>
  <c r="CW50" i="155"/>
  <c r="CV50" i="155"/>
  <c r="I50" i="155"/>
  <c r="L50" i="155" s="1"/>
  <c r="O50" i="155" s="1"/>
  <c r="R50" i="155" s="1"/>
  <c r="U50" i="155" s="1"/>
  <c r="X50" i="155" s="1"/>
  <c r="AA50" i="155" s="1"/>
  <c r="AD50" i="155" s="1"/>
  <c r="AG50" i="155" s="1"/>
  <c r="AJ50" i="155" s="1"/>
  <c r="AM50" i="155" s="1"/>
  <c r="AP50" i="155" s="1"/>
  <c r="AS50" i="155" s="1"/>
  <c r="AV50" i="155" s="1"/>
  <c r="AY50" i="155" s="1"/>
  <c r="BB50" i="155" s="1"/>
  <c r="BE50" i="155" s="1"/>
  <c r="BH50" i="155" s="1"/>
  <c r="BK50" i="155" s="1"/>
  <c r="BN50" i="155" s="1"/>
  <c r="BQ50" i="155" s="1"/>
  <c r="BT50" i="155" s="1"/>
  <c r="BW50" i="155" s="1"/>
  <c r="BZ50" i="155" s="1"/>
  <c r="CC50" i="155" s="1"/>
  <c r="CF50" i="155" s="1"/>
  <c r="CI50" i="155" s="1"/>
  <c r="CL50" i="155" s="1"/>
  <c r="CO50" i="155" s="1"/>
  <c r="CR50" i="155" s="1"/>
  <c r="CU50" i="155" s="1"/>
  <c r="CW49" i="155"/>
  <c r="CV49" i="155"/>
  <c r="I49" i="155"/>
  <c r="L49" i="155" s="1"/>
  <c r="O49" i="155" s="1"/>
  <c r="R49" i="155" s="1"/>
  <c r="U49" i="155" s="1"/>
  <c r="X49" i="155" s="1"/>
  <c r="AA49" i="155" s="1"/>
  <c r="AD49" i="155" s="1"/>
  <c r="AG49" i="155" s="1"/>
  <c r="AJ49" i="155" s="1"/>
  <c r="AM49" i="155" s="1"/>
  <c r="AP49" i="155" s="1"/>
  <c r="AS49" i="155" s="1"/>
  <c r="AV49" i="155" s="1"/>
  <c r="AY49" i="155" s="1"/>
  <c r="BB49" i="155" s="1"/>
  <c r="BE49" i="155" s="1"/>
  <c r="BH49" i="155" s="1"/>
  <c r="BK49" i="155" s="1"/>
  <c r="BN49" i="155" s="1"/>
  <c r="BQ49" i="155" s="1"/>
  <c r="BT49" i="155" s="1"/>
  <c r="BW49" i="155" s="1"/>
  <c r="BZ49" i="155" s="1"/>
  <c r="CC49" i="155" s="1"/>
  <c r="CF49" i="155" s="1"/>
  <c r="CI49" i="155" s="1"/>
  <c r="CL49" i="155" s="1"/>
  <c r="CO49" i="155" s="1"/>
  <c r="CR49" i="155" s="1"/>
  <c r="CU49" i="155" s="1"/>
  <c r="CV48" i="155"/>
  <c r="I48" i="155"/>
  <c r="L48" i="155" s="1"/>
  <c r="CV47" i="155"/>
  <c r="I47" i="155"/>
  <c r="L47" i="155" s="1"/>
  <c r="O47" i="155" s="1"/>
  <c r="R47" i="155" s="1"/>
  <c r="U47" i="155" s="1"/>
  <c r="X47" i="155" s="1"/>
  <c r="AA47" i="155" s="1"/>
  <c r="AD47" i="155" s="1"/>
  <c r="AG47" i="155" s="1"/>
  <c r="AJ47" i="155" s="1"/>
  <c r="AM47" i="155" s="1"/>
  <c r="AP47" i="155" s="1"/>
  <c r="AS47" i="155" s="1"/>
  <c r="AV47" i="155" s="1"/>
  <c r="AY47" i="155" s="1"/>
  <c r="BB47" i="155" s="1"/>
  <c r="BE47" i="155" s="1"/>
  <c r="BH47" i="155" s="1"/>
  <c r="BK47" i="155" s="1"/>
  <c r="BN47" i="155" s="1"/>
  <c r="BQ47" i="155" s="1"/>
  <c r="BT47" i="155" s="1"/>
  <c r="BW47" i="155" s="1"/>
  <c r="BZ47" i="155" s="1"/>
  <c r="CC47" i="155" s="1"/>
  <c r="CF47" i="155" s="1"/>
  <c r="CI47" i="155" s="1"/>
  <c r="CL47" i="155" s="1"/>
  <c r="CO47" i="155" s="1"/>
  <c r="CR47" i="155" s="1"/>
  <c r="CU47" i="155" s="1"/>
  <c r="CW46" i="155"/>
  <c r="CV46" i="155"/>
  <c r="I46" i="155"/>
  <c r="L46" i="155" s="1"/>
  <c r="O46" i="155" s="1"/>
  <c r="R46" i="155" s="1"/>
  <c r="U46" i="155" s="1"/>
  <c r="X46" i="155" s="1"/>
  <c r="AA46" i="155" s="1"/>
  <c r="AD46" i="155" s="1"/>
  <c r="AG46" i="155" s="1"/>
  <c r="AJ46" i="155" s="1"/>
  <c r="AM46" i="155" s="1"/>
  <c r="AP46" i="155" s="1"/>
  <c r="AS46" i="155" s="1"/>
  <c r="AV46" i="155" s="1"/>
  <c r="AY46" i="155" s="1"/>
  <c r="BB46" i="155" s="1"/>
  <c r="BE46" i="155" s="1"/>
  <c r="BH46" i="155" s="1"/>
  <c r="BK46" i="155" s="1"/>
  <c r="BN46" i="155" s="1"/>
  <c r="BQ46" i="155" s="1"/>
  <c r="BT46" i="155" s="1"/>
  <c r="BW46" i="155" s="1"/>
  <c r="BZ46" i="155" s="1"/>
  <c r="CC46" i="155" s="1"/>
  <c r="CF46" i="155" s="1"/>
  <c r="CI46" i="155" s="1"/>
  <c r="CL46" i="155" s="1"/>
  <c r="CO46" i="155" s="1"/>
  <c r="CR46" i="155" s="1"/>
  <c r="CU46" i="155" s="1"/>
  <c r="CW45" i="155"/>
  <c r="CV45" i="155"/>
  <c r="I45" i="155"/>
  <c r="L45" i="155" s="1"/>
  <c r="O45" i="155" s="1"/>
  <c r="R45" i="155" s="1"/>
  <c r="U45" i="155" s="1"/>
  <c r="X45" i="155" s="1"/>
  <c r="AA45" i="155" s="1"/>
  <c r="AD45" i="155" s="1"/>
  <c r="AG45" i="155" s="1"/>
  <c r="AJ45" i="155" s="1"/>
  <c r="AM45" i="155" s="1"/>
  <c r="AP45" i="155" s="1"/>
  <c r="AS45" i="155" s="1"/>
  <c r="AV45" i="155" s="1"/>
  <c r="AY45" i="155" s="1"/>
  <c r="BB45" i="155" s="1"/>
  <c r="BE45" i="155" s="1"/>
  <c r="BH45" i="155" s="1"/>
  <c r="BK45" i="155" s="1"/>
  <c r="BN45" i="155" s="1"/>
  <c r="BQ45" i="155" s="1"/>
  <c r="BT45" i="155" s="1"/>
  <c r="BW45" i="155" s="1"/>
  <c r="BZ45" i="155" s="1"/>
  <c r="CC45" i="155" s="1"/>
  <c r="CF45" i="155" s="1"/>
  <c r="CI45" i="155" s="1"/>
  <c r="CL45" i="155" s="1"/>
  <c r="CO45" i="155" s="1"/>
  <c r="CR45" i="155" s="1"/>
  <c r="CU45" i="155" s="1"/>
  <c r="CW44" i="155"/>
  <c r="CV44" i="155"/>
  <c r="I44" i="155"/>
  <c r="L44" i="155" s="1"/>
  <c r="O44" i="155" s="1"/>
  <c r="R44" i="155" s="1"/>
  <c r="U44" i="155" s="1"/>
  <c r="X44" i="155" s="1"/>
  <c r="AA44" i="155" s="1"/>
  <c r="AD44" i="155" s="1"/>
  <c r="AG44" i="155" s="1"/>
  <c r="AJ44" i="155" s="1"/>
  <c r="AM44" i="155" s="1"/>
  <c r="AP44" i="155" s="1"/>
  <c r="AS44" i="155" s="1"/>
  <c r="AV44" i="155" s="1"/>
  <c r="AY44" i="155" s="1"/>
  <c r="BB44" i="155" s="1"/>
  <c r="BE44" i="155" s="1"/>
  <c r="BH44" i="155" s="1"/>
  <c r="BK44" i="155" s="1"/>
  <c r="BN44" i="155" s="1"/>
  <c r="BQ44" i="155" s="1"/>
  <c r="BT44" i="155" s="1"/>
  <c r="BW44" i="155" s="1"/>
  <c r="BZ44" i="155" s="1"/>
  <c r="CC44" i="155" s="1"/>
  <c r="CF44" i="155" s="1"/>
  <c r="CI44" i="155" s="1"/>
  <c r="CL44" i="155" s="1"/>
  <c r="CO44" i="155" s="1"/>
  <c r="CR44" i="155" s="1"/>
  <c r="CU44" i="155" s="1"/>
  <c r="CW43" i="155"/>
  <c r="CV43" i="155"/>
  <c r="I43" i="155"/>
  <c r="L43" i="155" s="1"/>
  <c r="O43" i="155" s="1"/>
  <c r="R43" i="155" s="1"/>
  <c r="U43" i="155" s="1"/>
  <c r="X43" i="155" s="1"/>
  <c r="AA43" i="155" s="1"/>
  <c r="AD43" i="155" s="1"/>
  <c r="AG43" i="155" s="1"/>
  <c r="AJ43" i="155" s="1"/>
  <c r="AM43" i="155" s="1"/>
  <c r="AP43" i="155" s="1"/>
  <c r="AS43" i="155" s="1"/>
  <c r="AV43" i="155" s="1"/>
  <c r="AY43" i="155" s="1"/>
  <c r="BB43" i="155" s="1"/>
  <c r="BE43" i="155" s="1"/>
  <c r="BH43" i="155" s="1"/>
  <c r="BK43" i="155" s="1"/>
  <c r="BN43" i="155" s="1"/>
  <c r="BQ43" i="155" s="1"/>
  <c r="BT43" i="155" s="1"/>
  <c r="BW43" i="155" s="1"/>
  <c r="BZ43" i="155" s="1"/>
  <c r="CC43" i="155" s="1"/>
  <c r="CF43" i="155" s="1"/>
  <c r="CI43" i="155" s="1"/>
  <c r="CL43" i="155" s="1"/>
  <c r="CO43" i="155" s="1"/>
  <c r="CR43" i="155" s="1"/>
  <c r="CU43" i="155" s="1"/>
  <c r="CW42" i="155"/>
  <c r="CV42" i="155"/>
  <c r="I42" i="155"/>
  <c r="L42" i="155" s="1"/>
  <c r="O42" i="155" s="1"/>
  <c r="R42" i="155" s="1"/>
  <c r="U42" i="155" s="1"/>
  <c r="X42" i="155" s="1"/>
  <c r="AA42" i="155" s="1"/>
  <c r="AD42" i="155" s="1"/>
  <c r="AG42" i="155" s="1"/>
  <c r="AJ42" i="155" s="1"/>
  <c r="AM42" i="155" s="1"/>
  <c r="AP42" i="155" s="1"/>
  <c r="AS42" i="155" s="1"/>
  <c r="AV42" i="155" s="1"/>
  <c r="AY42" i="155" s="1"/>
  <c r="BB42" i="155" s="1"/>
  <c r="BE42" i="155" s="1"/>
  <c r="BH42" i="155" s="1"/>
  <c r="BK42" i="155" s="1"/>
  <c r="BN42" i="155" s="1"/>
  <c r="BQ42" i="155" s="1"/>
  <c r="BT42" i="155" s="1"/>
  <c r="BW42" i="155" s="1"/>
  <c r="BZ42" i="155" s="1"/>
  <c r="CC42" i="155" s="1"/>
  <c r="CF42" i="155" s="1"/>
  <c r="CI42" i="155" s="1"/>
  <c r="CL42" i="155" s="1"/>
  <c r="CO42" i="155" s="1"/>
  <c r="CR42" i="155" s="1"/>
  <c r="CU42" i="155" s="1"/>
  <c r="CW41" i="155"/>
  <c r="CV41" i="155"/>
  <c r="I41" i="155"/>
  <c r="L41" i="155" s="1"/>
  <c r="O41" i="155" s="1"/>
  <c r="R41" i="155" s="1"/>
  <c r="U41" i="155" s="1"/>
  <c r="X41" i="155" s="1"/>
  <c r="AA41" i="155" s="1"/>
  <c r="AD41" i="155" s="1"/>
  <c r="AG41" i="155" s="1"/>
  <c r="AJ41" i="155" s="1"/>
  <c r="AM41" i="155" s="1"/>
  <c r="AP41" i="155" s="1"/>
  <c r="AS41" i="155" s="1"/>
  <c r="AV41" i="155" s="1"/>
  <c r="AY41" i="155" s="1"/>
  <c r="BB41" i="155" s="1"/>
  <c r="BE41" i="155" s="1"/>
  <c r="BH41" i="155" s="1"/>
  <c r="BK41" i="155" s="1"/>
  <c r="BN41" i="155" s="1"/>
  <c r="BQ41" i="155" s="1"/>
  <c r="BT41" i="155" s="1"/>
  <c r="BW41" i="155" s="1"/>
  <c r="BZ41" i="155" s="1"/>
  <c r="CC41" i="155" s="1"/>
  <c r="CF41" i="155" s="1"/>
  <c r="CI41" i="155" s="1"/>
  <c r="CL41" i="155" s="1"/>
  <c r="CO41" i="155" s="1"/>
  <c r="CR41" i="155" s="1"/>
  <c r="CU41" i="155" s="1"/>
  <c r="CV40" i="155"/>
  <c r="CV39" i="155"/>
  <c r="CW38" i="155"/>
  <c r="CV38" i="155"/>
  <c r="I38" i="155"/>
  <c r="L38" i="155" s="1"/>
  <c r="O38" i="155" s="1"/>
  <c r="R38" i="155" s="1"/>
  <c r="U38" i="155" s="1"/>
  <c r="X38" i="155" s="1"/>
  <c r="AA38" i="155" s="1"/>
  <c r="AD38" i="155" s="1"/>
  <c r="AG38" i="155" s="1"/>
  <c r="AJ38" i="155" s="1"/>
  <c r="AM38" i="155" s="1"/>
  <c r="AP38" i="155" s="1"/>
  <c r="AS38" i="155" s="1"/>
  <c r="AV38" i="155" s="1"/>
  <c r="AY38" i="155" s="1"/>
  <c r="BB38" i="155" s="1"/>
  <c r="BE38" i="155" s="1"/>
  <c r="BH38" i="155" s="1"/>
  <c r="BK38" i="155" s="1"/>
  <c r="BN38" i="155" s="1"/>
  <c r="BQ38" i="155" s="1"/>
  <c r="BT38" i="155" s="1"/>
  <c r="BW38" i="155" s="1"/>
  <c r="BZ38" i="155" s="1"/>
  <c r="CC38" i="155" s="1"/>
  <c r="CF38" i="155" s="1"/>
  <c r="CI38" i="155" s="1"/>
  <c r="CL38" i="155" s="1"/>
  <c r="CO38" i="155" s="1"/>
  <c r="CR38" i="155" s="1"/>
  <c r="CU38" i="155" s="1"/>
  <c r="CW37" i="155"/>
  <c r="CV37" i="155"/>
  <c r="I37" i="155"/>
  <c r="L37" i="155" s="1"/>
  <c r="O37" i="155" s="1"/>
  <c r="R37" i="155" s="1"/>
  <c r="U37" i="155" s="1"/>
  <c r="X37" i="155" s="1"/>
  <c r="AA37" i="155" s="1"/>
  <c r="AD37" i="155" s="1"/>
  <c r="AG37" i="155" s="1"/>
  <c r="AJ37" i="155" s="1"/>
  <c r="AM37" i="155" s="1"/>
  <c r="AP37" i="155" s="1"/>
  <c r="AS37" i="155" s="1"/>
  <c r="AV37" i="155" s="1"/>
  <c r="AY37" i="155" s="1"/>
  <c r="BB37" i="155" s="1"/>
  <c r="BE37" i="155" s="1"/>
  <c r="BH37" i="155" s="1"/>
  <c r="BK37" i="155" s="1"/>
  <c r="BN37" i="155" s="1"/>
  <c r="BQ37" i="155" s="1"/>
  <c r="BT37" i="155" s="1"/>
  <c r="BW37" i="155" s="1"/>
  <c r="BZ37" i="155" s="1"/>
  <c r="CC37" i="155" s="1"/>
  <c r="CF37" i="155" s="1"/>
  <c r="CI37" i="155" s="1"/>
  <c r="CL37" i="155" s="1"/>
  <c r="CO37" i="155" s="1"/>
  <c r="CR37" i="155" s="1"/>
  <c r="CU37" i="155" s="1"/>
  <c r="CW35" i="155"/>
  <c r="CV35" i="155"/>
  <c r="I35" i="155"/>
  <c r="L35" i="155" s="1"/>
  <c r="O35" i="155" s="1"/>
  <c r="R35" i="155" s="1"/>
  <c r="U35" i="155" s="1"/>
  <c r="X35" i="155" s="1"/>
  <c r="AA35" i="155" s="1"/>
  <c r="AD35" i="155" s="1"/>
  <c r="AG35" i="155" s="1"/>
  <c r="AJ35" i="155" s="1"/>
  <c r="AM35" i="155" s="1"/>
  <c r="AP35" i="155" s="1"/>
  <c r="AS35" i="155" s="1"/>
  <c r="AV35" i="155" s="1"/>
  <c r="AY35" i="155" s="1"/>
  <c r="BB35" i="155" s="1"/>
  <c r="BE35" i="155" s="1"/>
  <c r="BH35" i="155" s="1"/>
  <c r="BK35" i="155" s="1"/>
  <c r="BN35" i="155" s="1"/>
  <c r="BQ35" i="155" s="1"/>
  <c r="BT35" i="155" s="1"/>
  <c r="BW35" i="155" s="1"/>
  <c r="BZ35" i="155" s="1"/>
  <c r="CC35" i="155" s="1"/>
  <c r="CF35" i="155" s="1"/>
  <c r="CI35" i="155" s="1"/>
  <c r="CL35" i="155" s="1"/>
  <c r="CO35" i="155" s="1"/>
  <c r="CR35" i="155" s="1"/>
  <c r="CU35" i="155" s="1"/>
  <c r="CW34" i="155"/>
  <c r="CV34" i="155"/>
  <c r="I34" i="155"/>
  <c r="L34" i="155" s="1"/>
  <c r="O34" i="155" s="1"/>
  <c r="R34" i="155" s="1"/>
  <c r="U34" i="155" s="1"/>
  <c r="X34" i="155" s="1"/>
  <c r="AA34" i="155" s="1"/>
  <c r="AD34" i="155" s="1"/>
  <c r="AG34" i="155" s="1"/>
  <c r="AJ34" i="155" s="1"/>
  <c r="AM34" i="155" s="1"/>
  <c r="AP34" i="155" s="1"/>
  <c r="AS34" i="155" s="1"/>
  <c r="AV34" i="155" s="1"/>
  <c r="AY34" i="155" s="1"/>
  <c r="BB34" i="155" s="1"/>
  <c r="BE34" i="155" s="1"/>
  <c r="BH34" i="155" s="1"/>
  <c r="BK34" i="155" s="1"/>
  <c r="BN34" i="155" s="1"/>
  <c r="BQ34" i="155" s="1"/>
  <c r="BT34" i="155" s="1"/>
  <c r="BW34" i="155" s="1"/>
  <c r="BZ34" i="155" s="1"/>
  <c r="CC34" i="155" s="1"/>
  <c r="CF34" i="155" s="1"/>
  <c r="CI34" i="155" s="1"/>
  <c r="CL34" i="155" s="1"/>
  <c r="CO34" i="155" s="1"/>
  <c r="CR34" i="155" s="1"/>
  <c r="CU34" i="155" s="1"/>
  <c r="CW33" i="155"/>
  <c r="CV33" i="155"/>
  <c r="I33" i="155"/>
  <c r="L33" i="155" s="1"/>
  <c r="O33" i="155" s="1"/>
  <c r="R33" i="155" s="1"/>
  <c r="U33" i="155" s="1"/>
  <c r="X33" i="155" s="1"/>
  <c r="AA33" i="155" s="1"/>
  <c r="AD33" i="155" s="1"/>
  <c r="AG33" i="155" s="1"/>
  <c r="AJ33" i="155" s="1"/>
  <c r="AM33" i="155" s="1"/>
  <c r="AP33" i="155" s="1"/>
  <c r="AS33" i="155" s="1"/>
  <c r="AV33" i="155" s="1"/>
  <c r="AY33" i="155" s="1"/>
  <c r="BB33" i="155" s="1"/>
  <c r="BE33" i="155" s="1"/>
  <c r="BH33" i="155" s="1"/>
  <c r="BK33" i="155" s="1"/>
  <c r="BN33" i="155" s="1"/>
  <c r="BQ33" i="155" s="1"/>
  <c r="BT33" i="155" s="1"/>
  <c r="BW33" i="155" s="1"/>
  <c r="BZ33" i="155" s="1"/>
  <c r="CC33" i="155" s="1"/>
  <c r="CF33" i="155" s="1"/>
  <c r="CI33" i="155" s="1"/>
  <c r="CL33" i="155" s="1"/>
  <c r="CO33" i="155" s="1"/>
  <c r="CR33" i="155" s="1"/>
  <c r="CU33" i="155" s="1"/>
  <c r="CV32" i="155"/>
  <c r="I32" i="155"/>
  <c r="L32" i="155" s="1"/>
  <c r="CW31" i="155"/>
  <c r="CV31" i="155"/>
  <c r="I31" i="155"/>
  <c r="L31" i="155" s="1"/>
  <c r="O31" i="155" s="1"/>
  <c r="R31" i="155" s="1"/>
  <c r="U31" i="155" s="1"/>
  <c r="X31" i="155" s="1"/>
  <c r="AA31" i="155" s="1"/>
  <c r="AD31" i="155" s="1"/>
  <c r="AG31" i="155" s="1"/>
  <c r="AJ31" i="155" s="1"/>
  <c r="AM31" i="155" s="1"/>
  <c r="AP31" i="155" s="1"/>
  <c r="AS31" i="155" s="1"/>
  <c r="AV31" i="155" s="1"/>
  <c r="AY31" i="155" s="1"/>
  <c r="BB31" i="155" s="1"/>
  <c r="BE31" i="155" s="1"/>
  <c r="BH31" i="155" s="1"/>
  <c r="BK31" i="155" s="1"/>
  <c r="BN31" i="155" s="1"/>
  <c r="BQ31" i="155" s="1"/>
  <c r="BT31" i="155" s="1"/>
  <c r="BW31" i="155" s="1"/>
  <c r="BZ31" i="155" s="1"/>
  <c r="CC31" i="155" s="1"/>
  <c r="CF31" i="155" s="1"/>
  <c r="CI31" i="155" s="1"/>
  <c r="CL31" i="155" s="1"/>
  <c r="CO31" i="155" s="1"/>
  <c r="CR31" i="155" s="1"/>
  <c r="CU31" i="155" s="1"/>
  <c r="CW30" i="155"/>
  <c r="CV30" i="155"/>
  <c r="I30" i="155"/>
  <c r="L30" i="155" s="1"/>
  <c r="O30" i="155" s="1"/>
  <c r="R30" i="155" s="1"/>
  <c r="U30" i="155" s="1"/>
  <c r="X30" i="155" s="1"/>
  <c r="AA30" i="155" s="1"/>
  <c r="AD30" i="155" s="1"/>
  <c r="AG30" i="155" s="1"/>
  <c r="AJ30" i="155" s="1"/>
  <c r="AM30" i="155" s="1"/>
  <c r="AP30" i="155" s="1"/>
  <c r="AS30" i="155" s="1"/>
  <c r="AV30" i="155" s="1"/>
  <c r="AY30" i="155" s="1"/>
  <c r="BB30" i="155" s="1"/>
  <c r="BE30" i="155" s="1"/>
  <c r="BH30" i="155" s="1"/>
  <c r="BK30" i="155" s="1"/>
  <c r="BN30" i="155" s="1"/>
  <c r="BQ30" i="155" s="1"/>
  <c r="BT30" i="155" s="1"/>
  <c r="BW30" i="155" s="1"/>
  <c r="BZ30" i="155" s="1"/>
  <c r="CC30" i="155" s="1"/>
  <c r="CF30" i="155" s="1"/>
  <c r="CI30" i="155" s="1"/>
  <c r="CL30" i="155" s="1"/>
  <c r="CO30" i="155" s="1"/>
  <c r="CR30" i="155" s="1"/>
  <c r="CU30" i="155" s="1"/>
  <c r="I29" i="155"/>
  <c r="L29" i="155" s="1"/>
  <c r="O29" i="155" s="1"/>
  <c r="R29" i="155" s="1"/>
  <c r="U29" i="155" s="1"/>
  <c r="X29" i="155" s="1"/>
  <c r="AA29" i="155" s="1"/>
  <c r="CV28" i="155"/>
  <c r="CW28" i="155"/>
  <c r="I28" i="155"/>
  <c r="L28" i="155" s="1"/>
  <c r="O28" i="155" s="1"/>
  <c r="R28" i="155" s="1"/>
  <c r="U28" i="155" s="1"/>
  <c r="X28" i="155" s="1"/>
  <c r="AA28" i="155" s="1"/>
  <c r="AD28" i="155" s="1"/>
  <c r="AG28" i="155" s="1"/>
  <c r="AJ28" i="155" s="1"/>
  <c r="AM28" i="155" s="1"/>
  <c r="AP28" i="155" s="1"/>
  <c r="AS28" i="155" s="1"/>
  <c r="AV28" i="155" s="1"/>
  <c r="AY28" i="155" s="1"/>
  <c r="BB28" i="155" s="1"/>
  <c r="BE28" i="155" s="1"/>
  <c r="BH28" i="155" s="1"/>
  <c r="BK28" i="155" s="1"/>
  <c r="BN28" i="155" s="1"/>
  <c r="BQ28" i="155" s="1"/>
  <c r="BT28" i="155" s="1"/>
  <c r="BW28" i="155" s="1"/>
  <c r="BZ28" i="155" s="1"/>
  <c r="CC28" i="155" s="1"/>
  <c r="CF28" i="155" s="1"/>
  <c r="CI28" i="155" s="1"/>
  <c r="CL28" i="155" s="1"/>
  <c r="CO28" i="155" s="1"/>
  <c r="CR28" i="155" s="1"/>
  <c r="CU28" i="155" s="1"/>
  <c r="CV27" i="155"/>
  <c r="CW27" i="155"/>
  <c r="CW26" i="155"/>
  <c r="CV26" i="155"/>
  <c r="I26" i="155"/>
  <c r="L26" i="155" s="1"/>
  <c r="O26" i="155" s="1"/>
  <c r="R26" i="155" s="1"/>
  <c r="U26" i="155" s="1"/>
  <c r="X26" i="155" s="1"/>
  <c r="AA26" i="155" s="1"/>
  <c r="AD26" i="155" s="1"/>
  <c r="AG26" i="155" s="1"/>
  <c r="AJ26" i="155" s="1"/>
  <c r="AM26" i="155" s="1"/>
  <c r="AP26" i="155" s="1"/>
  <c r="AS26" i="155" s="1"/>
  <c r="AV26" i="155" s="1"/>
  <c r="AY26" i="155" s="1"/>
  <c r="BB26" i="155" s="1"/>
  <c r="BE26" i="155" s="1"/>
  <c r="BH26" i="155" s="1"/>
  <c r="BK26" i="155" s="1"/>
  <c r="BN26" i="155" s="1"/>
  <c r="BQ26" i="155" s="1"/>
  <c r="BT26" i="155" s="1"/>
  <c r="BW26" i="155" s="1"/>
  <c r="BZ26" i="155" s="1"/>
  <c r="CC26" i="155" s="1"/>
  <c r="CF26" i="155" s="1"/>
  <c r="CI26" i="155" s="1"/>
  <c r="CL26" i="155" s="1"/>
  <c r="CO26" i="155" s="1"/>
  <c r="CR26" i="155" s="1"/>
  <c r="CU26" i="155" s="1"/>
  <c r="CV25" i="155"/>
  <c r="CW24" i="155"/>
  <c r="CV24" i="155"/>
  <c r="I24" i="155"/>
  <c r="L24" i="155" s="1"/>
  <c r="O24" i="155" s="1"/>
  <c r="R24" i="155" s="1"/>
  <c r="U24" i="155" s="1"/>
  <c r="X24" i="155" s="1"/>
  <c r="AA24" i="155" s="1"/>
  <c r="AD24" i="155" s="1"/>
  <c r="AG24" i="155" s="1"/>
  <c r="AJ24" i="155" s="1"/>
  <c r="AM24" i="155" s="1"/>
  <c r="AP24" i="155" s="1"/>
  <c r="AS24" i="155" s="1"/>
  <c r="AV24" i="155" s="1"/>
  <c r="AY24" i="155" s="1"/>
  <c r="BB24" i="155" s="1"/>
  <c r="BE24" i="155" s="1"/>
  <c r="BH24" i="155" s="1"/>
  <c r="BK24" i="155" s="1"/>
  <c r="BN24" i="155" s="1"/>
  <c r="BQ24" i="155" s="1"/>
  <c r="BT24" i="155" s="1"/>
  <c r="BW24" i="155" s="1"/>
  <c r="BZ24" i="155" s="1"/>
  <c r="CC24" i="155" s="1"/>
  <c r="CF24" i="155" s="1"/>
  <c r="CI24" i="155" s="1"/>
  <c r="CL24" i="155" s="1"/>
  <c r="CO24" i="155" s="1"/>
  <c r="CR24" i="155" s="1"/>
  <c r="CU24" i="155" s="1"/>
  <c r="CV23" i="155"/>
  <c r="I23" i="155"/>
  <c r="L23" i="155" s="1"/>
  <c r="O23" i="155" s="1"/>
  <c r="R23" i="155" s="1"/>
  <c r="U23" i="155" s="1"/>
  <c r="X23" i="155" s="1"/>
  <c r="AA23" i="155" s="1"/>
  <c r="AD23" i="155" s="1"/>
  <c r="AG23" i="155" s="1"/>
  <c r="AJ23" i="155" s="1"/>
  <c r="AM23" i="155" s="1"/>
  <c r="AP23" i="155" s="1"/>
  <c r="AS23" i="155" s="1"/>
  <c r="AV23" i="155" s="1"/>
  <c r="AY23" i="155" s="1"/>
  <c r="BB23" i="155" s="1"/>
  <c r="BE23" i="155" s="1"/>
  <c r="BH23" i="155" s="1"/>
  <c r="BK23" i="155" s="1"/>
  <c r="BN23" i="155" s="1"/>
  <c r="BQ23" i="155" s="1"/>
  <c r="BT23" i="155" s="1"/>
  <c r="BW23" i="155" s="1"/>
  <c r="BZ23" i="155" s="1"/>
  <c r="CC23" i="155" s="1"/>
  <c r="CF23" i="155" s="1"/>
  <c r="CI23" i="155" s="1"/>
  <c r="CL23" i="155" s="1"/>
  <c r="CO23" i="155" s="1"/>
  <c r="CR23" i="155" s="1"/>
  <c r="CU23" i="155" s="1"/>
  <c r="I22" i="155"/>
  <c r="L22" i="155" s="1"/>
  <c r="CW21" i="155"/>
  <c r="CV21" i="155"/>
  <c r="I21" i="155"/>
  <c r="L21" i="155" s="1"/>
  <c r="O21" i="155" s="1"/>
  <c r="R21" i="155" s="1"/>
  <c r="U21" i="155" s="1"/>
  <c r="X21" i="155" s="1"/>
  <c r="AA21" i="155" s="1"/>
  <c r="AD21" i="155" s="1"/>
  <c r="AG21" i="155" s="1"/>
  <c r="AJ21" i="155" s="1"/>
  <c r="AM21" i="155" s="1"/>
  <c r="AP21" i="155" s="1"/>
  <c r="AS21" i="155" s="1"/>
  <c r="AV21" i="155" s="1"/>
  <c r="AY21" i="155" s="1"/>
  <c r="BB21" i="155" s="1"/>
  <c r="BE21" i="155" s="1"/>
  <c r="BH21" i="155" s="1"/>
  <c r="BK21" i="155" s="1"/>
  <c r="BN21" i="155" s="1"/>
  <c r="BQ21" i="155" s="1"/>
  <c r="BT21" i="155" s="1"/>
  <c r="BW21" i="155" s="1"/>
  <c r="BZ21" i="155" s="1"/>
  <c r="CC21" i="155" s="1"/>
  <c r="CF21" i="155" s="1"/>
  <c r="CI21" i="155" s="1"/>
  <c r="CL21" i="155" s="1"/>
  <c r="CO21" i="155" s="1"/>
  <c r="CR21" i="155" s="1"/>
  <c r="CU21" i="155" s="1"/>
  <c r="CW20" i="155"/>
  <c r="CV20" i="155"/>
  <c r="I20" i="155"/>
  <c r="L20" i="155" s="1"/>
  <c r="O20" i="155" s="1"/>
  <c r="R20" i="155" s="1"/>
  <c r="U20" i="155" s="1"/>
  <c r="X20" i="155" s="1"/>
  <c r="AA20" i="155" s="1"/>
  <c r="AD20" i="155" s="1"/>
  <c r="AG20" i="155" s="1"/>
  <c r="AJ20" i="155" s="1"/>
  <c r="AM20" i="155" s="1"/>
  <c r="AP20" i="155" s="1"/>
  <c r="AS20" i="155" s="1"/>
  <c r="AV20" i="155" s="1"/>
  <c r="AY20" i="155" s="1"/>
  <c r="BB20" i="155" s="1"/>
  <c r="BE20" i="155" s="1"/>
  <c r="BH20" i="155" s="1"/>
  <c r="BK20" i="155" s="1"/>
  <c r="BN20" i="155" s="1"/>
  <c r="BQ20" i="155" s="1"/>
  <c r="BT20" i="155" s="1"/>
  <c r="BW20" i="155" s="1"/>
  <c r="BZ20" i="155" s="1"/>
  <c r="CC20" i="155" s="1"/>
  <c r="CF20" i="155" s="1"/>
  <c r="CI20" i="155" s="1"/>
  <c r="CL20" i="155" s="1"/>
  <c r="CO20" i="155" s="1"/>
  <c r="CR20" i="155" s="1"/>
  <c r="CU20" i="155" s="1"/>
  <c r="CW19" i="155"/>
  <c r="CV19" i="155"/>
  <c r="I19" i="155"/>
  <c r="L19" i="155" s="1"/>
  <c r="O19" i="155" s="1"/>
  <c r="R19" i="155" s="1"/>
  <c r="U19" i="155" s="1"/>
  <c r="X19" i="155" s="1"/>
  <c r="AA19" i="155" s="1"/>
  <c r="AD19" i="155" s="1"/>
  <c r="AG19" i="155" s="1"/>
  <c r="AJ19" i="155" s="1"/>
  <c r="AM19" i="155" s="1"/>
  <c r="AP19" i="155" s="1"/>
  <c r="AS19" i="155" s="1"/>
  <c r="AV19" i="155" s="1"/>
  <c r="AY19" i="155" s="1"/>
  <c r="BB19" i="155" s="1"/>
  <c r="BE19" i="155" s="1"/>
  <c r="BH19" i="155" s="1"/>
  <c r="BK19" i="155" s="1"/>
  <c r="BN19" i="155" s="1"/>
  <c r="BQ19" i="155" s="1"/>
  <c r="BT19" i="155" s="1"/>
  <c r="BW19" i="155" s="1"/>
  <c r="BZ19" i="155" s="1"/>
  <c r="CC19" i="155" s="1"/>
  <c r="CF19" i="155" s="1"/>
  <c r="CI19" i="155" s="1"/>
  <c r="CL19" i="155" s="1"/>
  <c r="CO19" i="155" s="1"/>
  <c r="CV18" i="155"/>
  <c r="CW18" i="155"/>
  <c r="I18" i="155"/>
  <c r="L18" i="155" s="1"/>
  <c r="O18" i="155" s="1"/>
  <c r="R18" i="155" s="1"/>
  <c r="U18" i="155" s="1"/>
  <c r="X18" i="155" s="1"/>
  <c r="AA18" i="155" s="1"/>
  <c r="AD18" i="155" s="1"/>
  <c r="AG18" i="155" s="1"/>
  <c r="AJ18" i="155" s="1"/>
  <c r="AM18" i="155" s="1"/>
  <c r="AP18" i="155" s="1"/>
  <c r="AS18" i="155" s="1"/>
  <c r="AV18" i="155" s="1"/>
  <c r="AY18" i="155" s="1"/>
  <c r="BB18" i="155" s="1"/>
  <c r="BE18" i="155" s="1"/>
  <c r="BH18" i="155" s="1"/>
  <c r="BK18" i="155" s="1"/>
  <c r="BN18" i="155" s="1"/>
  <c r="BQ18" i="155" s="1"/>
  <c r="BT18" i="155" s="1"/>
  <c r="BW18" i="155" s="1"/>
  <c r="BZ18" i="155" s="1"/>
  <c r="CC18" i="155" s="1"/>
  <c r="CF18" i="155" s="1"/>
  <c r="CI18" i="155" s="1"/>
  <c r="CL18" i="155" s="1"/>
  <c r="CO18" i="155" s="1"/>
  <c r="CR18" i="155" s="1"/>
  <c r="CU18" i="155" s="1"/>
  <c r="CW15" i="155"/>
  <c r="CV14" i="155"/>
  <c r="CV13" i="155"/>
  <c r="CW13" i="155"/>
  <c r="I13" i="155"/>
  <c r="L13" i="155" s="1"/>
  <c r="O13" i="155" s="1"/>
  <c r="CV12" i="155"/>
  <c r="I12" i="155"/>
  <c r="L12" i="155" s="1"/>
  <c r="O12" i="155" s="1"/>
  <c r="R12" i="155" s="1"/>
  <c r="U12" i="155" s="1"/>
  <c r="X12" i="155" s="1"/>
  <c r="AA12" i="155" s="1"/>
  <c r="AD12" i="155" s="1"/>
  <c r="AG12" i="155" s="1"/>
  <c r="AJ12" i="155" s="1"/>
  <c r="AM12" i="155" s="1"/>
  <c r="AP12" i="155" s="1"/>
  <c r="AS12" i="155" s="1"/>
  <c r="AV12" i="155" s="1"/>
  <c r="AY12" i="155" s="1"/>
  <c r="BB12" i="155" s="1"/>
  <c r="BE12" i="155" s="1"/>
  <c r="BH12" i="155" s="1"/>
  <c r="BK12" i="155" s="1"/>
  <c r="BN12" i="155" s="1"/>
  <c r="BQ12" i="155" s="1"/>
  <c r="BT12" i="155" s="1"/>
  <c r="BW12" i="155" s="1"/>
  <c r="BZ12" i="155" s="1"/>
  <c r="CC12" i="155" s="1"/>
  <c r="CF12" i="155" s="1"/>
  <c r="CI12" i="155" s="1"/>
  <c r="CL12" i="155" s="1"/>
  <c r="CO12" i="155" s="1"/>
  <c r="CR12" i="155" s="1"/>
  <c r="CU12" i="155" s="1"/>
  <c r="CW11" i="155"/>
  <c r="CV11" i="155"/>
  <c r="I11" i="155"/>
  <c r="L11" i="155" s="1"/>
  <c r="O11" i="155" s="1"/>
  <c r="R11" i="155" s="1"/>
  <c r="U11" i="155" s="1"/>
  <c r="X11" i="155" s="1"/>
  <c r="AA11" i="155" s="1"/>
  <c r="AD11" i="155" s="1"/>
  <c r="AG11" i="155" s="1"/>
  <c r="AJ11" i="155" s="1"/>
  <c r="AM11" i="155" s="1"/>
  <c r="AP11" i="155" s="1"/>
  <c r="AS11" i="155" s="1"/>
  <c r="AV11" i="155" s="1"/>
  <c r="AY11" i="155" s="1"/>
  <c r="BB11" i="155" s="1"/>
  <c r="BE11" i="155" s="1"/>
  <c r="BH11" i="155" s="1"/>
  <c r="BK11" i="155" s="1"/>
  <c r="BN11" i="155" s="1"/>
  <c r="BQ11" i="155" s="1"/>
  <c r="BT11" i="155" s="1"/>
  <c r="BW11" i="155" s="1"/>
  <c r="BZ11" i="155" s="1"/>
  <c r="CC11" i="155" s="1"/>
  <c r="CF11" i="155" s="1"/>
  <c r="CI11" i="155" s="1"/>
  <c r="CL11" i="155" s="1"/>
  <c r="CO11" i="155" s="1"/>
  <c r="CR11" i="155" s="1"/>
  <c r="CU11" i="155" s="1"/>
  <c r="CW10" i="155"/>
  <c r="CV10" i="155"/>
  <c r="I10" i="155"/>
  <c r="L10" i="155" s="1"/>
  <c r="O10" i="155" s="1"/>
  <c r="R10" i="155" s="1"/>
  <c r="U10" i="155" s="1"/>
  <c r="X10" i="155" s="1"/>
  <c r="AA10" i="155" s="1"/>
  <c r="AD10" i="155" s="1"/>
  <c r="AG10" i="155" s="1"/>
  <c r="AJ10" i="155" s="1"/>
  <c r="AM10" i="155" s="1"/>
  <c r="AP10" i="155" s="1"/>
  <c r="AS10" i="155" s="1"/>
  <c r="AV10" i="155" s="1"/>
  <c r="AY10" i="155" s="1"/>
  <c r="BB10" i="155" s="1"/>
  <c r="BE10" i="155" s="1"/>
  <c r="BH10" i="155" s="1"/>
  <c r="BK10" i="155" s="1"/>
  <c r="BN10" i="155" s="1"/>
  <c r="BQ10" i="155" s="1"/>
  <c r="BT10" i="155" s="1"/>
  <c r="BW10" i="155" s="1"/>
  <c r="BZ10" i="155" s="1"/>
  <c r="CC10" i="155" s="1"/>
  <c r="CF10" i="155" s="1"/>
  <c r="CI10" i="155" s="1"/>
  <c r="CL10" i="155" s="1"/>
  <c r="CO10" i="155" s="1"/>
  <c r="CR10" i="155" s="1"/>
  <c r="CU10" i="155" s="1"/>
  <c r="CW9" i="155"/>
  <c r="CV9" i="155"/>
  <c r="I9" i="155"/>
  <c r="L9" i="155" s="1"/>
  <c r="O9" i="155" s="1"/>
  <c r="R9" i="155" s="1"/>
  <c r="U9" i="155" s="1"/>
  <c r="X9" i="155" s="1"/>
  <c r="AA9" i="155" s="1"/>
  <c r="AD9" i="155" s="1"/>
  <c r="AG9" i="155" s="1"/>
  <c r="AJ9" i="155" s="1"/>
  <c r="AM9" i="155" s="1"/>
  <c r="AP9" i="155" s="1"/>
  <c r="AS9" i="155" s="1"/>
  <c r="AV9" i="155" s="1"/>
  <c r="AY9" i="155" s="1"/>
  <c r="BB9" i="155" s="1"/>
  <c r="BE9" i="155" s="1"/>
  <c r="BH9" i="155" s="1"/>
  <c r="BK9" i="155" s="1"/>
  <c r="BN9" i="155" s="1"/>
  <c r="BQ9" i="155" s="1"/>
  <c r="BT9" i="155" s="1"/>
  <c r="BW9" i="155" s="1"/>
  <c r="BZ9" i="155" s="1"/>
  <c r="CC9" i="155" s="1"/>
  <c r="CF9" i="155" s="1"/>
  <c r="CI9" i="155" s="1"/>
  <c r="CL9" i="155" s="1"/>
  <c r="CO9" i="155" s="1"/>
  <c r="CR9" i="155" s="1"/>
  <c r="CU9" i="155" s="1"/>
  <c r="CW8" i="155"/>
  <c r="CV8" i="155"/>
  <c r="I8" i="155"/>
  <c r="L8" i="155" s="1"/>
  <c r="O8" i="155" s="1"/>
  <c r="R8" i="155" s="1"/>
  <c r="U8" i="155" s="1"/>
  <c r="X8" i="155" s="1"/>
  <c r="AA8" i="155" s="1"/>
  <c r="AD8" i="155" s="1"/>
  <c r="AG8" i="155" s="1"/>
  <c r="AJ8" i="155" s="1"/>
  <c r="AM8" i="155" s="1"/>
  <c r="AP8" i="155" s="1"/>
  <c r="AS8" i="155" s="1"/>
  <c r="AV8" i="155" s="1"/>
  <c r="AY8" i="155" s="1"/>
  <c r="BB8" i="155" s="1"/>
  <c r="BE8" i="155" s="1"/>
  <c r="BH8" i="155" s="1"/>
  <c r="BK8" i="155" s="1"/>
  <c r="BN8" i="155" s="1"/>
  <c r="BQ8" i="155" s="1"/>
  <c r="BT8" i="155" s="1"/>
  <c r="BW8" i="155" s="1"/>
  <c r="BZ8" i="155" s="1"/>
  <c r="CC8" i="155" s="1"/>
  <c r="CF8" i="155" s="1"/>
  <c r="CI8" i="155" s="1"/>
  <c r="CL8" i="155" s="1"/>
  <c r="CO8" i="155" s="1"/>
  <c r="CR8" i="155" s="1"/>
  <c r="CU8" i="155" s="1"/>
  <c r="CW7" i="155"/>
  <c r="CV7" i="155"/>
  <c r="I7" i="155"/>
  <c r="L7" i="155" s="1"/>
  <c r="O7" i="155" s="1"/>
  <c r="R7" i="155" s="1"/>
  <c r="U7" i="155" s="1"/>
  <c r="X7" i="155" s="1"/>
  <c r="AA7" i="155" s="1"/>
  <c r="AD7" i="155" s="1"/>
  <c r="AG7" i="155" s="1"/>
  <c r="AJ7" i="155" s="1"/>
  <c r="AM7" i="155" s="1"/>
  <c r="AP7" i="155" s="1"/>
  <c r="AS7" i="155" s="1"/>
  <c r="AV7" i="155" s="1"/>
  <c r="AY7" i="155" s="1"/>
  <c r="BB7" i="155" s="1"/>
  <c r="BE7" i="155" s="1"/>
  <c r="BH7" i="155" s="1"/>
  <c r="BK7" i="155" s="1"/>
  <c r="BN7" i="155" s="1"/>
  <c r="BQ7" i="155" s="1"/>
  <c r="BT7" i="155" s="1"/>
  <c r="BW7" i="155" s="1"/>
  <c r="BZ7" i="155" s="1"/>
  <c r="CC7" i="155" s="1"/>
  <c r="CF7" i="155" s="1"/>
  <c r="CI7" i="155" s="1"/>
  <c r="CL7" i="155" s="1"/>
  <c r="CO7" i="155" s="1"/>
  <c r="CR7" i="155" s="1"/>
  <c r="CU7" i="155" s="1"/>
  <c r="CV6" i="155"/>
  <c r="CW6" i="155"/>
  <c r="CW5" i="155"/>
  <c r="CV5" i="155"/>
  <c r="I5" i="155"/>
  <c r="L5" i="155" s="1"/>
  <c r="O5" i="155" s="1"/>
  <c r="R5" i="155" s="1"/>
  <c r="U5" i="155" s="1"/>
  <c r="X5" i="155" s="1"/>
  <c r="AA5" i="155" s="1"/>
  <c r="AD5" i="155" s="1"/>
  <c r="AG5" i="155" s="1"/>
  <c r="AJ5" i="155" s="1"/>
  <c r="AM5" i="155" s="1"/>
  <c r="AP5" i="155" s="1"/>
  <c r="AS5" i="155" s="1"/>
  <c r="AV5" i="155" s="1"/>
  <c r="AY5" i="155" s="1"/>
  <c r="BB5" i="155" s="1"/>
  <c r="BE5" i="155" s="1"/>
  <c r="BH5" i="155" s="1"/>
  <c r="BK5" i="155" s="1"/>
  <c r="BN5" i="155" s="1"/>
  <c r="BQ5" i="155" s="1"/>
  <c r="BT5" i="155" s="1"/>
  <c r="BW5" i="155" s="1"/>
  <c r="BZ5" i="155" s="1"/>
  <c r="CC5" i="155" s="1"/>
  <c r="CF5" i="155" s="1"/>
  <c r="CI5" i="155" s="1"/>
  <c r="CL5" i="155" s="1"/>
  <c r="CO5" i="155" s="1"/>
  <c r="CR5" i="155" s="1"/>
  <c r="CU5" i="155" s="1"/>
  <c r="CN27" i="154"/>
  <c r="CQ77" i="154"/>
  <c r="CQ15" i="154"/>
  <c r="CQ23" i="154"/>
  <c r="CQ22" i="154"/>
  <c r="CQ58" i="154"/>
  <c r="CQ47" i="154"/>
  <c r="CQ40" i="154"/>
  <c r="CQ14" i="154"/>
  <c r="CQ25" i="154"/>
  <c r="CQ6" i="154"/>
  <c r="CQ13" i="154"/>
  <c r="CM75" i="154"/>
  <c r="CM36" i="154"/>
  <c r="CM32" i="154"/>
  <c r="CM29" i="154"/>
  <c r="CM12" i="154"/>
  <c r="CN83" i="154"/>
  <c r="CN75" i="154"/>
  <c r="CN63" i="154"/>
  <c r="CN59" i="154"/>
  <c r="CN29" i="154"/>
  <c r="CN12" i="154"/>
  <c r="CN32" i="154"/>
  <c r="CN15" i="154"/>
  <c r="CN40" i="154"/>
  <c r="CN36" i="154"/>
  <c r="CN25" i="154"/>
  <c r="CN6" i="154"/>
  <c r="CN60" i="154"/>
  <c r="CN14" i="154"/>
  <c r="CN16" i="154"/>
  <c r="CK12" i="154"/>
  <c r="CJ12" i="154"/>
  <c r="CN47" i="154"/>
  <c r="CN13" i="154"/>
  <c r="CN48" i="154"/>
  <c r="CN22" i="154"/>
  <c r="CJ14" i="154"/>
  <c r="CJ19" i="154"/>
  <c r="CJ18" i="154"/>
  <c r="CN68" i="154"/>
  <c r="CJ17" i="154"/>
  <c r="CJ32" i="154"/>
  <c r="CK32" i="154"/>
  <c r="CK59" i="154"/>
  <c r="CJ75" i="154"/>
  <c r="CK75" i="154"/>
  <c r="CE63" i="154"/>
  <c r="CJ63" i="154"/>
  <c r="CK63" i="154"/>
  <c r="CJ29" i="154"/>
  <c r="CE28" i="154"/>
  <c r="CK17" i="154"/>
  <c r="CK29" i="154"/>
  <c r="CR19" i="155" l="1"/>
  <c r="CU19" i="155" s="1"/>
  <c r="CR68" i="155"/>
  <c r="CU68" i="155" s="1"/>
  <c r="I25" i="155"/>
  <c r="L25" i="155" s="1"/>
  <c r="O25" i="155" s="1"/>
  <c r="R25" i="155" s="1"/>
  <c r="U25" i="155" s="1"/>
  <c r="X25" i="155" s="1"/>
  <c r="AA25" i="155" s="1"/>
  <c r="AD25" i="155" s="1"/>
  <c r="AG25" i="155" s="1"/>
  <c r="AJ25" i="155" s="1"/>
  <c r="AM25" i="155" s="1"/>
  <c r="AP25" i="155" s="1"/>
  <c r="AS25" i="155" s="1"/>
  <c r="AV25" i="155" s="1"/>
  <c r="AY25" i="155" s="1"/>
  <c r="BB25" i="155" s="1"/>
  <c r="BE25" i="155" s="1"/>
  <c r="BH25" i="155" s="1"/>
  <c r="BK25" i="155" s="1"/>
  <c r="BN25" i="155" s="1"/>
  <c r="BQ25" i="155" s="1"/>
  <c r="BT25" i="155" s="1"/>
  <c r="BW25" i="155" s="1"/>
  <c r="BZ25" i="155" s="1"/>
  <c r="CC25" i="155" s="1"/>
  <c r="CF25" i="155" s="1"/>
  <c r="CI25" i="155" s="1"/>
  <c r="CL25" i="155" s="1"/>
  <c r="CO25" i="155" s="1"/>
  <c r="CR25" i="155" s="1"/>
  <c r="CU25" i="155" s="1"/>
  <c r="DB25" i="155" s="1"/>
  <c r="DE25" i="155" s="1"/>
  <c r="O14" i="155"/>
  <c r="R14" i="155" s="1"/>
  <c r="U14" i="155" s="1"/>
  <c r="X14" i="155" s="1"/>
  <c r="AA14" i="155" s="1"/>
  <c r="AD14" i="155" s="1"/>
  <c r="AG14" i="155" s="1"/>
  <c r="AJ14" i="155" s="1"/>
  <c r="AM14" i="155" s="1"/>
  <c r="AP14" i="155" s="1"/>
  <c r="AS14" i="155" s="1"/>
  <c r="AV14" i="155" s="1"/>
  <c r="AY14" i="155" s="1"/>
  <c r="BB14" i="155" s="1"/>
  <c r="BE14" i="155" s="1"/>
  <c r="BH14" i="155" s="1"/>
  <c r="BK14" i="155" s="1"/>
  <c r="BN14" i="155" s="1"/>
  <c r="BQ14" i="155" s="1"/>
  <c r="BT14" i="155" s="1"/>
  <c r="BW14" i="155" s="1"/>
  <c r="BZ14" i="155" s="1"/>
  <c r="CC14" i="155" s="1"/>
  <c r="CF14" i="155" s="1"/>
  <c r="CI14" i="155" s="1"/>
  <c r="CL14" i="155" s="1"/>
  <c r="CO14" i="155" s="1"/>
  <c r="CR14" i="155" s="1"/>
  <c r="CU14" i="155" s="1"/>
  <c r="O22" i="155"/>
  <c r="R22" i="155" s="1"/>
  <c r="U22" i="155" s="1"/>
  <c r="X22" i="155" s="1"/>
  <c r="AA22" i="155" s="1"/>
  <c r="AD22" i="155" s="1"/>
  <c r="AG22" i="155" s="1"/>
  <c r="AJ22" i="155" s="1"/>
  <c r="AM22" i="155" s="1"/>
  <c r="AP22" i="155" s="1"/>
  <c r="AS22" i="155" s="1"/>
  <c r="AV22" i="155" s="1"/>
  <c r="AY22" i="155" s="1"/>
  <c r="BB22" i="155" s="1"/>
  <c r="BE22" i="155" s="1"/>
  <c r="BH22" i="155" s="1"/>
  <c r="BK22" i="155" s="1"/>
  <c r="BN22" i="155" s="1"/>
  <c r="BQ22" i="155" s="1"/>
  <c r="BT22" i="155" s="1"/>
  <c r="BW22" i="155" s="1"/>
  <c r="BZ22" i="155" s="1"/>
  <c r="CC22" i="155" s="1"/>
  <c r="CF22" i="155" s="1"/>
  <c r="CI22" i="155" s="1"/>
  <c r="CL22" i="155" s="1"/>
  <c r="CO22" i="155" s="1"/>
  <c r="CR22" i="155" s="1"/>
  <c r="CU22" i="155" s="1"/>
  <c r="CX22" i="155" s="1"/>
  <c r="CZ22" i="155" s="1"/>
  <c r="CX49" i="155"/>
  <c r="CZ49" i="155" s="1"/>
  <c r="DB49" i="155"/>
  <c r="DE49" i="155" s="1"/>
  <c r="DB24" i="155"/>
  <c r="DE24" i="155" s="1"/>
  <c r="CX24" i="155"/>
  <c r="CZ24" i="155" s="1"/>
  <c r="CX37" i="155"/>
  <c r="CZ37" i="155" s="1"/>
  <c r="DB37" i="155"/>
  <c r="DE37" i="155" s="1"/>
  <c r="CX45" i="155"/>
  <c r="CZ45" i="155" s="1"/>
  <c r="DB45" i="155"/>
  <c r="DE45" i="155" s="1"/>
  <c r="DB8" i="155"/>
  <c r="DE8" i="155" s="1"/>
  <c r="CX8" i="155"/>
  <c r="CZ8" i="155" s="1"/>
  <c r="DB12" i="155"/>
  <c r="DE12" i="155" s="1"/>
  <c r="CX12" i="155"/>
  <c r="CZ12" i="155" s="1"/>
  <c r="DB38" i="155"/>
  <c r="DE38" i="155" s="1"/>
  <c r="CX38" i="155"/>
  <c r="CZ38" i="155" s="1"/>
  <c r="DB46" i="155"/>
  <c r="DE46" i="155" s="1"/>
  <c r="CX46" i="155"/>
  <c r="CZ46" i="155" s="1"/>
  <c r="CX21" i="155"/>
  <c r="CZ21" i="155" s="1"/>
  <c r="DB21" i="155"/>
  <c r="DE21" i="155" s="1"/>
  <c r="DB26" i="155"/>
  <c r="DE26" i="155" s="1"/>
  <c r="CX26" i="155"/>
  <c r="CZ26" i="155" s="1"/>
  <c r="DB18" i="155"/>
  <c r="DE18" i="155" s="1"/>
  <c r="CX18" i="155"/>
  <c r="CZ18" i="155" s="1"/>
  <c r="DB9" i="155"/>
  <c r="DE9" i="155" s="1"/>
  <c r="CX9" i="155"/>
  <c r="CZ9" i="155" s="1"/>
  <c r="CX5" i="155"/>
  <c r="CZ5" i="155" s="1"/>
  <c r="DB5" i="155"/>
  <c r="DE5" i="155" s="1"/>
  <c r="CX62" i="155"/>
  <c r="CZ62" i="155" s="1"/>
  <c r="DB62" i="155"/>
  <c r="DE62" i="155" s="1"/>
  <c r="DB30" i="155"/>
  <c r="DE30" i="155" s="1"/>
  <c r="CX30" i="155"/>
  <c r="CZ30" i="155" s="1"/>
  <c r="CX23" i="155"/>
  <c r="CZ23" i="155" s="1"/>
  <c r="DB23" i="155"/>
  <c r="DE23" i="155" s="1"/>
  <c r="DB7" i="155"/>
  <c r="DE7" i="155" s="1"/>
  <c r="CX7" i="155"/>
  <c r="CZ7" i="155" s="1"/>
  <c r="CX10" i="155"/>
  <c r="CZ10" i="155" s="1"/>
  <c r="DB10" i="155"/>
  <c r="DE10" i="155" s="1"/>
  <c r="DB16" i="155"/>
  <c r="DE16" i="155" s="1"/>
  <c r="CX16" i="155"/>
  <c r="CZ16" i="155" s="1"/>
  <c r="DB34" i="155"/>
  <c r="DE34" i="155" s="1"/>
  <c r="CX34" i="155"/>
  <c r="CZ34" i="155" s="1"/>
  <c r="DB52" i="155"/>
  <c r="DE52" i="155" s="1"/>
  <c r="CX52" i="155"/>
  <c r="CZ52" i="155" s="1"/>
  <c r="DB28" i="155"/>
  <c r="DE28" i="155" s="1"/>
  <c r="CX28" i="155"/>
  <c r="CZ28" i="155" s="1"/>
  <c r="DB31" i="155"/>
  <c r="DE31" i="155" s="1"/>
  <c r="CX31" i="155"/>
  <c r="CZ31" i="155" s="1"/>
  <c r="CX11" i="155"/>
  <c r="CZ11" i="155" s="1"/>
  <c r="DB11" i="155"/>
  <c r="DE11" i="155" s="1"/>
  <c r="DB20" i="155"/>
  <c r="DE20" i="155" s="1"/>
  <c r="CX20" i="155"/>
  <c r="CZ20" i="155" s="1"/>
  <c r="AD29" i="155"/>
  <c r="AG29" i="155" s="1"/>
  <c r="AJ29" i="155" s="1"/>
  <c r="AM29" i="155" s="1"/>
  <c r="AP29" i="155" s="1"/>
  <c r="AS29" i="155" s="1"/>
  <c r="AV29" i="155" s="1"/>
  <c r="AY29" i="155" s="1"/>
  <c r="BB29" i="155" s="1"/>
  <c r="BE29" i="155" s="1"/>
  <c r="BH29" i="155" s="1"/>
  <c r="BK29" i="155" s="1"/>
  <c r="BN29" i="155" s="1"/>
  <c r="BQ29" i="155" s="1"/>
  <c r="BT29" i="155" s="1"/>
  <c r="BW29" i="155" s="1"/>
  <c r="BZ29" i="155" s="1"/>
  <c r="CC29" i="155" s="1"/>
  <c r="CF29" i="155" s="1"/>
  <c r="CI29" i="155" s="1"/>
  <c r="CL29" i="155" s="1"/>
  <c r="CO29" i="155" s="1"/>
  <c r="CR29" i="155" s="1"/>
  <c r="CU29" i="155" s="1"/>
  <c r="CX39" i="155"/>
  <c r="CZ39" i="155" s="1"/>
  <c r="DB39" i="155"/>
  <c r="DE39" i="155" s="1"/>
  <c r="DB56" i="155"/>
  <c r="DE56" i="155" s="1"/>
  <c r="CV15" i="155"/>
  <c r="DB42" i="155"/>
  <c r="DE42" i="155" s="1"/>
  <c r="CX42" i="155"/>
  <c r="CZ42" i="155" s="1"/>
  <c r="DB86" i="155"/>
  <c r="DE86" i="155" s="1"/>
  <c r="CX86" i="155"/>
  <c r="CZ86" i="155" s="1"/>
  <c r="DB47" i="155"/>
  <c r="DE47" i="155" s="1"/>
  <c r="CX47" i="155"/>
  <c r="CZ47" i="155" s="1"/>
  <c r="CX64" i="155"/>
  <c r="CZ64" i="155" s="1"/>
  <c r="DB64" i="155"/>
  <c r="DE64" i="155" s="1"/>
  <c r="CX89" i="155"/>
  <c r="CZ89" i="155" s="1"/>
  <c r="DB89" i="155"/>
  <c r="DE89" i="155" s="1"/>
  <c r="I15" i="155"/>
  <c r="L15" i="155" s="1"/>
  <c r="O15" i="155" s="1"/>
  <c r="R15" i="155" s="1"/>
  <c r="U15" i="155" s="1"/>
  <c r="X15" i="155" s="1"/>
  <c r="AA15" i="155" s="1"/>
  <c r="AD15" i="155" s="1"/>
  <c r="AG15" i="155" s="1"/>
  <c r="AJ15" i="155" s="1"/>
  <c r="AM15" i="155" s="1"/>
  <c r="AP15" i="155" s="1"/>
  <c r="AS15" i="155" s="1"/>
  <c r="AV15" i="155" s="1"/>
  <c r="AY15" i="155" s="1"/>
  <c r="BB15" i="155" s="1"/>
  <c r="BE15" i="155" s="1"/>
  <c r="BH15" i="155" s="1"/>
  <c r="BK15" i="155" s="1"/>
  <c r="BN15" i="155" s="1"/>
  <c r="BQ15" i="155" s="1"/>
  <c r="BT15" i="155" s="1"/>
  <c r="BW15" i="155" s="1"/>
  <c r="BZ15" i="155" s="1"/>
  <c r="CC15" i="155" s="1"/>
  <c r="CF15" i="155" s="1"/>
  <c r="CI15" i="155" s="1"/>
  <c r="CL15" i="155" s="1"/>
  <c r="CO15" i="155" s="1"/>
  <c r="CR15" i="155" s="1"/>
  <c r="CU15" i="155" s="1"/>
  <c r="CX76" i="155"/>
  <c r="CZ76" i="155" s="1"/>
  <c r="DB76" i="155"/>
  <c r="DE76" i="155" s="1"/>
  <c r="DB90" i="155"/>
  <c r="DE90" i="155" s="1"/>
  <c r="CX90" i="155"/>
  <c r="CZ90" i="155" s="1"/>
  <c r="DB92" i="155"/>
  <c r="DE92" i="155" s="1"/>
  <c r="CX92" i="155"/>
  <c r="CZ92" i="155" s="1"/>
  <c r="DB54" i="155"/>
  <c r="DE54" i="155" s="1"/>
  <c r="CX54" i="155"/>
  <c r="CZ54" i="155" s="1"/>
  <c r="R13" i="155"/>
  <c r="U13" i="155" s="1"/>
  <c r="X13" i="155" s="1"/>
  <c r="AA13" i="155" s="1"/>
  <c r="AD13" i="155" s="1"/>
  <c r="AG13" i="155" s="1"/>
  <c r="AJ13" i="155" s="1"/>
  <c r="AM13" i="155" s="1"/>
  <c r="AP13" i="155" s="1"/>
  <c r="AS13" i="155" s="1"/>
  <c r="AV13" i="155" s="1"/>
  <c r="AY13" i="155" s="1"/>
  <c r="BB13" i="155" s="1"/>
  <c r="BE13" i="155" s="1"/>
  <c r="BH13" i="155" s="1"/>
  <c r="BK13" i="155" s="1"/>
  <c r="BN13" i="155" s="1"/>
  <c r="BQ13" i="155" s="1"/>
  <c r="BT13" i="155" s="1"/>
  <c r="BW13" i="155" s="1"/>
  <c r="BZ13" i="155" s="1"/>
  <c r="CC13" i="155" s="1"/>
  <c r="CF13" i="155" s="1"/>
  <c r="CI13" i="155" s="1"/>
  <c r="CL13" i="155" s="1"/>
  <c r="CO13" i="155" s="1"/>
  <c r="CR13" i="155" s="1"/>
  <c r="CU13" i="155" s="1"/>
  <c r="CV16" i="155"/>
  <c r="CV17" i="155"/>
  <c r="L27" i="155"/>
  <c r="O27" i="155" s="1"/>
  <c r="R27" i="155" s="1"/>
  <c r="U27" i="155" s="1"/>
  <c r="X27" i="155" s="1"/>
  <c r="AA27" i="155" s="1"/>
  <c r="AD27" i="155" s="1"/>
  <c r="AG27" i="155" s="1"/>
  <c r="AJ27" i="155" s="1"/>
  <c r="AM27" i="155" s="1"/>
  <c r="AP27" i="155" s="1"/>
  <c r="AS27" i="155" s="1"/>
  <c r="AV27" i="155" s="1"/>
  <c r="AY27" i="155" s="1"/>
  <c r="BB27" i="155" s="1"/>
  <c r="BE27" i="155" s="1"/>
  <c r="BH27" i="155" s="1"/>
  <c r="BK27" i="155" s="1"/>
  <c r="BN27" i="155" s="1"/>
  <c r="BQ27" i="155" s="1"/>
  <c r="BT27" i="155" s="1"/>
  <c r="BW27" i="155" s="1"/>
  <c r="BZ27" i="155" s="1"/>
  <c r="CC27" i="155" s="1"/>
  <c r="CF27" i="155" s="1"/>
  <c r="CI27" i="155" s="1"/>
  <c r="CL27" i="155" s="1"/>
  <c r="CO27" i="155" s="1"/>
  <c r="CR27" i="155" s="1"/>
  <c r="CU27" i="155" s="1"/>
  <c r="DB57" i="155"/>
  <c r="DE57" i="155" s="1"/>
  <c r="CX57" i="155"/>
  <c r="CZ57" i="155" s="1"/>
  <c r="DB84" i="155"/>
  <c r="DE84" i="155" s="1"/>
  <c r="CX84" i="155"/>
  <c r="CZ84" i="155" s="1"/>
  <c r="CX87" i="155"/>
  <c r="CZ87" i="155" s="1"/>
  <c r="DB87" i="155"/>
  <c r="DE87" i="155" s="1"/>
  <c r="DB44" i="155"/>
  <c r="DE44" i="155" s="1"/>
  <c r="CX44" i="155"/>
  <c r="CZ44" i="155" s="1"/>
  <c r="CW17" i="155"/>
  <c r="CX55" i="155"/>
  <c r="CZ55" i="155" s="1"/>
  <c r="DB55" i="155"/>
  <c r="DE55" i="155" s="1"/>
  <c r="CX33" i="155"/>
  <c r="CZ33" i="155" s="1"/>
  <c r="DB33" i="155"/>
  <c r="DE33" i="155" s="1"/>
  <c r="CX81" i="155"/>
  <c r="CZ81" i="155" s="1"/>
  <c r="DB81" i="155"/>
  <c r="DE81" i="155" s="1"/>
  <c r="I6" i="155"/>
  <c r="L6" i="155" s="1"/>
  <c r="O6" i="155" s="1"/>
  <c r="R6" i="155" s="1"/>
  <c r="U6" i="155" s="1"/>
  <c r="X6" i="155" s="1"/>
  <c r="AA6" i="155" s="1"/>
  <c r="AD6" i="155" s="1"/>
  <c r="AG6" i="155" s="1"/>
  <c r="AJ6" i="155" s="1"/>
  <c r="AM6" i="155" s="1"/>
  <c r="AP6" i="155" s="1"/>
  <c r="AS6" i="155" s="1"/>
  <c r="AV6" i="155" s="1"/>
  <c r="AY6" i="155" s="1"/>
  <c r="BB6" i="155" s="1"/>
  <c r="BE6" i="155" s="1"/>
  <c r="BH6" i="155" s="1"/>
  <c r="BK6" i="155" s="1"/>
  <c r="BN6" i="155" s="1"/>
  <c r="BQ6" i="155" s="1"/>
  <c r="BT6" i="155" s="1"/>
  <c r="BW6" i="155" s="1"/>
  <c r="BZ6" i="155" s="1"/>
  <c r="CC6" i="155" s="1"/>
  <c r="CF6" i="155" s="1"/>
  <c r="CI6" i="155" s="1"/>
  <c r="CL6" i="155" s="1"/>
  <c r="CO6" i="155" s="1"/>
  <c r="CR6" i="155" s="1"/>
  <c r="CU6" i="155" s="1"/>
  <c r="CX65" i="155"/>
  <c r="CZ65" i="155" s="1"/>
  <c r="DB65" i="155"/>
  <c r="DE65" i="155" s="1"/>
  <c r="DB71" i="155"/>
  <c r="DE71" i="155" s="1"/>
  <c r="CX71" i="155"/>
  <c r="CZ71" i="155" s="1"/>
  <c r="DB43" i="155"/>
  <c r="DE43" i="155" s="1"/>
  <c r="CX43" i="155"/>
  <c r="CZ43" i="155" s="1"/>
  <c r="CX35" i="155"/>
  <c r="CZ35" i="155" s="1"/>
  <c r="DB35" i="155"/>
  <c r="DE35" i="155" s="1"/>
  <c r="CX50" i="155"/>
  <c r="CZ50" i="155" s="1"/>
  <c r="DB50" i="155"/>
  <c r="DE50" i="155" s="1"/>
  <c r="CX74" i="155"/>
  <c r="CZ74" i="155" s="1"/>
  <c r="DB74" i="155"/>
  <c r="DE74" i="155" s="1"/>
  <c r="DB79" i="155"/>
  <c r="DE79" i="155" s="1"/>
  <c r="CX79" i="155"/>
  <c r="CZ79" i="155" s="1"/>
  <c r="DB85" i="155"/>
  <c r="DE85" i="155" s="1"/>
  <c r="CX85" i="155"/>
  <c r="CZ85" i="155" s="1"/>
  <c r="DB41" i="155"/>
  <c r="DE41" i="155" s="1"/>
  <c r="CX41" i="155"/>
  <c r="CZ41" i="155" s="1"/>
  <c r="DB51" i="155"/>
  <c r="DE51" i="155" s="1"/>
  <c r="CX51" i="155"/>
  <c r="CZ51" i="155" s="1"/>
  <c r="DB82" i="155"/>
  <c r="DE82" i="155" s="1"/>
  <c r="CX82" i="155"/>
  <c r="CZ82" i="155" s="1"/>
  <c r="DB66" i="155"/>
  <c r="DE66" i="155" s="1"/>
  <c r="CX66" i="155"/>
  <c r="CZ66" i="155" s="1"/>
  <c r="CX88" i="155"/>
  <c r="CZ88" i="155" s="1"/>
  <c r="DB88" i="155"/>
  <c r="DE88" i="155" s="1"/>
  <c r="DB53" i="155"/>
  <c r="DE53" i="155" s="1"/>
  <c r="CX53" i="155"/>
  <c r="CZ53" i="155" s="1"/>
  <c r="CX91" i="155"/>
  <c r="CZ91" i="155" s="1"/>
  <c r="DB91" i="155"/>
  <c r="DE91" i="155" s="1"/>
  <c r="DB93" i="155"/>
  <c r="DE93" i="155" s="1"/>
  <c r="CX93" i="155"/>
  <c r="CZ93" i="155" s="1"/>
  <c r="CW16" i="155"/>
  <c r="CW23" i="155"/>
  <c r="CW29" i="155"/>
  <c r="CX69" i="155"/>
  <c r="CZ69" i="155" s="1"/>
  <c r="DB69" i="155"/>
  <c r="DE69" i="155" s="1"/>
  <c r="CX72" i="155"/>
  <c r="CZ72" i="155" s="1"/>
  <c r="DB72" i="155"/>
  <c r="DE72" i="155" s="1"/>
  <c r="DB83" i="155"/>
  <c r="DE83" i="155" s="1"/>
  <c r="CX83" i="155"/>
  <c r="CZ83" i="155" s="1"/>
  <c r="I17" i="155"/>
  <c r="L17" i="155" s="1"/>
  <c r="O17" i="155" s="1"/>
  <c r="R17" i="155" s="1"/>
  <c r="U17" i="155" s="1"/>
  <c r="X17" i="155" s="1"/>
  <c r="AA17" i="155" s="1"/>
  <c r="AD17" i="155" s="1"/>
  <c r="AG17" i="155" s="1"/>
  <c r="AJ17" i="155" s="1"/>
  <c r="AM17" i="155" s="1"/>
  <c r="AP17" i="155" s="1"/>
  <c r="AS17" i="155" s="1"/>
  <c r="AV17" i="155" s="1"/>
  <c r="AY17" i="155" s="1"/>
  <c r="BB17" i="155" s="1"/>
  <c r="BE17" i="155" s="1"/>
  <c r="BH17" i="155" s="1"/>
  <c r="BK17" i="155" s="1"/>
  <c r="BN17" i="155" s="1"/>
  <c r="BQ17" i="155" s="1"/>
  <c r="BT17" i="155" s="1"/>
  <c r="BW17" i="155" s="1"/>
  <c r="BZ17" i="155" s="1"/>
  <c r="CC17" i="155" s="1"/>
  <c r="CF17" i="155" s="1"/>
  <c r="CI17" i="155" s="1"/>
  <c r="CL17" i="155" s="1"/>
  <c r="CO17" i="155" s="1"/>
  <c r="CR17" i="155" s="1"/>
  <c r="CU17" i="155" s="1"/>
  <c r="CW12" i="155"/>
  <c r="CW14" i="155"/>
  <c r="CW22" i="155"/>
  <c r="CW36" i="155"/>
  <c r="DB61" i="155"/>
  <c r="DE61" i="155" s="1"/>
  <c r="CX61" i="155"/>
  <c r="CZ61" i="155" s="1"/>
  <c r="CX70" i="155"/>
  <c r="CZ70" i="155" s="1"/>
  <c r="DB70" i="155"/>
  <c r="DE70" i="155" s="1"/>
  <c r="CV29" i="155"/>
  <c r="DB67" i="155"/>
  <c r="DE67" i="155" s="1"/>
  <c r="CX73" i="155"/>
  <c r="CZ73" i="155" s="1"/>
  <c r="DB73" i="155"/>
  <c r="DE73" i="155" s="1"/>
  <c r="I36" i="155"/>
  <c r="L36" i="155" s="1"/>
  <c r="O36" i="155" s="1"/>
  <c r="R36" i="155" s="1"/>
  <c r="U36" i="155" s="1"/>
  <c r="X36" i="155" s="1"/>
  <c r="AA36" i="155" s="1"/>
  <c r="AD36" i="155" s="1"/>
  <c r="AG36" i="155" s="1"/>
  <c r="AJ36" i="155" s="1"/>
  <c r="AM36" i="155" s="1"/>
  <c r="AP36" i="155" s="1"/>
  <c r="AS36" i="155" s="1"/>
  <c r="AV36" i="155" s="1"/>
  <c r="AY36" i="155" s="1"/>
  <c r="BB36" i="155" s="1"/>
  <c r="BE36" i="155" s="1"/>
  <c r="BH36" i="155" s="1"/>
  <c r="BK36" i="155" s="1"/>
  <c r="BN36" i="155" s="1"/>
  <c r="BQ36" i="155" s="1"/>
  <c r="BT36" i="155" s="1"/>
  <c r="BW36" i="155" s="1"/>
  <c r="BZ36" i="155" s="1"/>
  <c r="CC36" i="155" s="1"/>
  <c r="CF36" i="155" s="1"/>
  <c r="CI36" i="155" s="1"/>
  <c r="CL36" i="155" s="1"/>
  <c r="CO36" i="155" s="1"/>
  <c r="CR36" i="155" s="1"/>
  <c r="CU36" i="155" s="1"/>
  <c r="CV36" i="155"/>
  <c r="CW39" i="155"/>
  <c r="O48" i="155"/>
  <c r="R48" i="155" s="1"/>
  <c r="U48" i="155" s="1"/>
  <c r="X48" i="155" s="1"/>
  <c r="AA48" i="155" s="1"/>
  <c r="AD48" i="155" s="1"/>
  <c r="AG48" i="155" s="1"/>
  <c r="AJ48" i="155" s="1"/>
  <c r="AM48" i="155" s="1"/>
  <c r="AP48" i="155" s="1"/>
  <c r="AS48" i="155" s="1"/>
  <c r="AV48" i="155" s="1"/>
  <c r="AY48" i="155" s="1"/>
  <c r="BB48" i="155" s="1"/>
  <c r="BE48" i="155" s="1"/>
  <c r="BH48" i="155" s="1"/>
  <c r="BK48" i="155" s="1"/>
  <c r="BN48" i="155" s="1"/>
  <c r="BQ48" i="155" s="1"/>
  <c r="BT48" i="155" s="1"/>
  <c r="BW48" i="155" s="1"/>
  <c r="BZ48" i="155" s="1"/>
  <c r="CC48" i="155" s="1"/>
  <c r="CF48" i="155" s="1"/>
  <c r="CI48" i="155" s="1"/>
  <c r="CL48" i="155" s="1"/>
  <c r="CO48" i="155" s="1"/>
  <c r="CR48" i="155" s="1"/>
  <c r="CU48" i="155" s="1"/>
  <c r="CV75" i="155"/>
  <c r="CW77" i="155"/>
  <c r="CW40" i="155"/>
  <c r="CW32" i="155"/>
  <c r="I40" i="155"/>
  <c r="L40" i="155" s="1"/>
  <c r="O40" i="155" s="1"/>
  <c r="R40" i="155" s="1"/>
  <c r="U40" i="155" s="1"/>
  <c r="X40" i="155" s="1"/>
  <c r="AA40" i="155" s="1"/>
  <c r="AD40" i="155" s="1"/>
  <c r="AG40" i="155" s="1"/>
  <c r="AJ40" i="155" s="1"/>
  <c r="AM40" i="155" s="1"/>
  <c r="AP40" i="155" s="1"/>
  <c r="AS40" i="155" s="1"/>
  <c r="AV40" i="155" s="1"/>
  <c r="AY40" i="155" s="1"/>
  <c r="BB40" i="155" s="1"/>
  <c r="BE40" i="155" s="1"/>
  <c r="BH40" i="155" s="1"/>
  <c r="BK40" i="155" s="1"/>
  <c r="BN40" i="155" s="1"/>
  <c r="BQ40" i="155" s="1"/>
  <c r="BT40" i="155" s="1"/>
  <c r="BW40" i="155" s="1"/>
  <c r="BZ40" i="155" s="1"/>
  <c r="CC40" i="155" s="1"/>
  <c r="CF40" i="155" s="1"/>
  <c r="CI40" i="155" s="1"/>
  <c r="CL40" i="155" s="1"/>
  <c r="CO40" i="155" s="1"/>
  <c r="CR40" i="155" s="1"/>
  <c r="CU40" i="155" s="1"/>
  <c r="O32" i="155"/>
  <c r="R32" i="155" s="1"/>
  <c r="U32" i="155" s="1"/>
  <c r="X32" i="155" s="1"/>
  <c r="AA32" i="155" s="1"/>
  <c r="AD32" i="155" s="1"/>
  <c r="AG32" i="155" s="1"/>
  <c r="AJ32" i="155" s="1"/>
  <c r="AM32" i="155" s="1"/>
  <c r="AP32" i="155" s="1"/>
  <c r="AS32" i="155" s="1"/>
  <c r="AV32" i="155" s="1"/>
  <c r="AY32" i="155" s="1"/>
  <c r="BB32" i="155" s="1"/>
  <c r="BE32" i="155" s="1"/>
  <c r="BH32" i="155" s="1"/>
  <c r="BK32" i="155" s="1"/>
  <c r="BN32" i="155" s="1"/>
  <c r="BQ32" i="155" s="1"/>
  <c r="BT32" i="155" s="1"/>
  <c r="BW32" i="155" s="1"/>
  <c r="BZ32" i="155" s="1"/>
  <c r="CC32" i="155" s="1"/>
  <c r="CF32" i="155" s="1"/>
  <c r="CI32" i="155" s="1"/>
  <c r="CL32" i="155" s="1"/>
  <c r="CO32" i="155" s="1"/>
  <c r="CR32" i="155" s="1"/>
  <c r="CU32" i="155" s="1"/>
  <c r="AJ58" i="155"/>
  <c r="AM58" i="155" s="1"/>
  <c r="AP58" i="155" s="1"/>
  <c r="AS58" i="155" s="1"/>
  <c r="AV58" i="155" s="1"/>
  <c r="AY58" i="155" s="1"/>
  <c r="BB58" i="155" s="1"/>
  <c r="BE58" i="155" s="1"/>
  <c r="BH58" i="155" s="1"/>
  <c r="BK58" i="155" s="1"/>
  <c r="BN58" i="155" s="1"/>
  <c r="BQ58" i="155" s="1"/>
  <c r="BT58" i="155" s="1"/>
  <c r="BW58" i="155" s="1"/>
  <c r="BZ58" i="155" s="1"/>
  <c r="CC58" i="155" s="1"/>
  <c r="CF58" i="155" s="1"/>
  <c r="CI58" i="155" s="1"/>
  <c r="CL58" i="155" s="1"/>
  <c r="CO58" i="155" s="1"/>
  <c r="CR58" i="155" s="1"/>
  <c r="CU58" i="155" s="1"/>
  <c r="I75" i="155"/>
  <c r="L75" i="155" s="1"/>
  <c r="O75" i="155" s="1"/>
  <c r="R75" i="155" s="1"/>
  <c r="U75" i="155" s="1"/>
  <c r="X75" i="155" s="1"/>
  <c r="AA75" i="155" s="1"/>
  <c r="AD75" i="155" s="1"/>
  <c r="AG75" i="155" s="1"/>
  <c r="AJ75" i="155" s="1"/>
  <c r="AM75" i="155" s="1"/>
  <c r="AP75" i="155" s="1"/>
  <c r="AS75" i="155" s="1"/>
  <c r="AV75" i="155" s="1"/>
  <c r="AY75" i="155" s="1"/>
  <c r="BB75" i="155" s="1"/>
  <c r="BE75" i="155" s="1"/>
  <c r="BH75" i="155" s="1"/>
  <c r="BK75" i="155" s="1"/>
  <c r="BN75" i="155" s="1"/>
  <c r="BQ75" i="155" s="1"/>
  <c r="BT75" i="155" s="1"/>
  <c r="BW75" i="155" s="1"/>
  <c r="BZ75" i="155" s="1"/>
  <c r="CC75" i="155" s="1"/>
  <c r="CF75" i="155" s="1"/>
  <c r="CI75" i="155" s="1"/>
  <c r="CL75" i="155" s="1"/>
  <c r="CO75" i="155" s="1"/>
  <c r="CR75" i="155" s="1"/>
  <c r="CU75" i="155" s="1"/>
  <c r="CW75" i="155"/>
  <c r="CW48" i="155"/>
  <c r="CW60" i="155"/>
  <c r="U59" i="155"/>
  <c r="X59" i="155" s="1"/>
  <c r="AA59" i="155" s="1"/>
  <c r="AD59" i="155" s="1"/>
  <c r="AG59" i="155" s="1"/>
  <c r="AJ59" i="155" s="1"/>
  <c r="AM59" i="155" s="1"/>
  <c r="AP59" i="155" s="1"/>
  <c r="AS59" i="155" s="1"/>
  <c r="AV59" i="155" s="1"/>
  <c r="AY59" i="155" s="1"/>
  <c r="BB59" i="155" s="1"/>
  <c r="BE59" i="155" s="1"/>
  <c r="BH59" i="155" s="1"/>
  <c r="BK59" i="155" s="1"/>
  <c r="BN59" i="155" s="1"/>
  <c r="BQ59" i="155" s="1"/>
  <c r="BT59" i="155" s="1"/>
  <c r="BW59" i="155" s="1"/>
  <c r="BZ59" i="155" s="1"/>
  <c r="CC59" i="155" s="1"/>
  <c r="CF59" i="155" s="1"/>
  <c r="CI59" i="155" s="1"/>
  <c r="CL59" i="155" s="1"/>
  <c r="CO59" i="155" s="1"/>
  <c r="CR59" i="155" s="1"/>
  <c r="CU59" i="155" s="1"/>
  <c r="L77" i="155"/>
  <c r="O77" i="155" s="1"/>
  <c r="R77" i="155" s="1"/>
  <c r="U77" i="155" s="1"/>
  <c r="X77" i="155" s="1"/>
  <c r="AA77" i="155" s="1"/>
  <c r="AD77" i="155" s="1"/>
  <c r="AG77" i="155" s="1"/>
  <c r="AJ77" i="155" s="1"/>
  <c r="AM77" i="155" s="1"/>
  <c r="AP77" i="155" s="1"/>
  <c r="AS77" i="155" s="1"/>
  <c r="AV77" i="155" s="1"/>
  <c r="AY77" i="155" s="1"/>
  <c r="BB77" i="155" s="1"/>
  <c r="BE77" i="155" s="1"/>
  <c r="BH77" i="155" s="1"/>
  <c r="BK77" i="155" s="1"/>
  <c r="BN77" i="155" s="1"/>
  <c r="BQ77" i="155" s="1"/>
  <c r="BT77" i="155" s="1"/>
  <c r="BW77" i="155" s="1"/>
  <c r="BZ77" i="155" s="1"/>
  <c r="CC77" i="155" s="1"/>
  <c r="CF77" i="155" s="1"/>
  <c r="CI77" i="155" s="1"/>
  <c r="CL77" i="155" s="1"/>
  <c r="CO77" i="155" s="1"/>
  <c r="CR77" i="155" s="1"/>
  <c r="CU77" i="155" s="1"/>
  <c r="CW47" i="155"/>
  <c r="I63" i="155"/>
  <c r="L63" i="155" s="1"/>
  <c r="O63" i="155" s="1"/>
  <c r="R63" i="155" s="1"/>
  <c r="U63" i="155" s="1"/>
  <c r="X63" i="155" s="1"/>
  <c r="AA63" i="155" s="1"/>
  <c r="AD63" i="155" s="1"/>
  <c r="AG63" i="155" s="1"/>
  <c r="AJ63" i="155" s="1"/>
  <c r="AM63" i="155" s="1"/>
  <c r="AP63" i="155" s="1"/>
  <c r="AS63" i="155" s="1"/>
  <c r="AV63" i="155" s="1"/>
  <c r="AY63" i="155" s="1"/>
  <c r="BB63" i="155" s="1"/>
  <c r="BE63" i="155" s="1"/>
  <c r="BH63" i="155" s="1"/>
  <c r="BK63" i="155" s="1"/>
  <c r="BN63" i="155" s="1"/>
  <c r="BQ63" i="155" s="1"/>
  <c r="BT63" i="155" s="1"/>
  <c r="BW63" i="155" s="1"/>
  <c r="BZ63" i="155" s="1"/>
  <c r="CC63" i="155" s="1"/>
  <c r="CF63" i="155" s="1"/>
  <c r="CI63" i="155" s="1"/>
  <c r="CL63" i="155" s="1"/>
  <c r="CO63" i="155" s="1"/>
  <c r="CR63" i="155" s="1"/>
  <c r="CU63" i="155" s="1"/>
  <c r="CW83" i="155"/>
  <c r="L60" i="155"/>
  <c r="O60" i="155" s="1"/>
  <c r="R60" i="155" s="1"/>
  <c r="U60" i="155" s="1"/>
  <c r="X60" i="155" s="1"/>
  <c r="AA60" i="155" s="1"/>
  <c r="AD60" i="155" s="1"/>
  <c r="AG60" i="155" s="1"/>
  <c r="AJ60" i="155" s="1"/>
  <c r="AM60" i="155" s="1"/>
  <c r="AP60" i="155" s="1"/>
  <c r="AS60" i="155" s="1"/>
  <c r="AV60" i="155" s="1"/>
  <c r="AY60" i="155" s="1"/>
  <c r="BB60" i="155" s="1"/>
  <c r="BE60" i="155" s="1"/>
  <c r="BH60" i="155" s="1"/>
  <c r="BK60" i="155" s="1"/>
  <c r="BN60" i="155" s="1"/>
  <c r="BQ60" i="155" s="1"/>
  <c r="BT60" i="155" s="1"/>
  <c r="BW60" i="155" s="1"/>
  <c r="BZ60" i="155" s="1"/>
  <c r="CC60" i="155" s="1"/>
  <c r="CF60" i="155" s="1"/>
  <c r="CI60" i="155" s="1"/>
  <c r="CL60" i="155" s="1"/>
  <c r="CO60" i="155" s="1"/>
  <c r="CR60" i="155" s="1"/>
  <c r="CU60" i="155" s="1"/>
  <c r="R80" i="155"/>
  <c r="U80" i="155" s="1"/>
  <c r="X80" i="155" s="1"/>
  <c r="AA80" i="155" s="1"/>
  <c r="AD80" i="155" s="1"/>
  <c r="AG80" i="155" s="1"/>
  <c r="AJ80" i="155" s="1"/>
  <c r="AM80" i="155" s="1"/>
  <c r="AP80" i="155" s="1"/>
  <c r="AS80" i="155" s="1"/>
  <c r="AV80" i="155" s="1"/>
  <c r="AY80" i="155" s="1"/>
  <c r="BB80" i="155" s="1"/>
  <c r="BE80" i="155" s="1"/>
  <c r="BH80" i="155" s="1"/>
  <c r="BK80" i="155" s="1"/>
  <c r="BN80" i="155" s="1"/>
  <c r="BQ80" i="155" s="1"/>
  <c r="BT80" i="155" s="1"/>
  <c r="BW80" i="155" s="1"/>
  <c r="BZ80" i="155" s="1"/>
  <c r="CC80" i="155" s="1"/>
  <c r="CF80" i="155" s="1"/>
  <c r="CI80" i="155" s="1"/>
  <c r="CL80" i="155" s="1"/>
  <c r="CO80" i="155" s="1"/>
  <c r="CR80" i="155" s="1"/>
  <c r="CU80" i="155" s="1"/>
  <c r="CW80" i="155"/>
  <c r="CW58" i="155"/>
  <c r="CK60" i="154"/>
  <c r="CK14" i="154"/>
  <c r="CK16" i="154"/>
  <c r="CK40" i="154"/>
  <c r="CK48" i="154"/>
  <c r="CK27" i="154"/>
  <c r="CK22" i="154"/>
  <c r="CK77" i="154"/>
  <c r="CK43" i="154"/>
  <c r="CK58" i="154"/>
  <c r="CK15" i="154"/>
  <c r="CK13" i="154"/>
  <c r="CD75" i="154"/>
  <c r="CE75" i="154"/>
  <c r="CD63" i="154"/>
  <c r="CD53" i="154"/>
  <c r="CD36" i="154"/>
  <c r="CD32" i="154"/>
  <c r="CD29" i="154"/>
  <c r="CD27" i="154"/>
  <c r="CD17" i="154"/>
  <c r="CD14" i="154"/>
  <c r="CD12" i="154"/>
  <c r="CE83" i="154"/>
  <c r="CE82" i="154"/>
  <c r="CE59" i="154"/>
  <c r="CE17" i="154"/>
  <c r="CE29" i="154"/>
  <c r="CE32" i="154"/>
  <c r="CE15" i="154"/>
  <c r="CE60" i="154"/>
  <c r="CE53" i="154"/>
  <c r="CE16" i="154"/>
  <c r="CE23" i="154"/>
  <c r="CE13" i="154"/>
  <c r="CE48" i="154"/>
  <c r="CE27" i="154"/>
  <c r="CE22" i="154"/>
  <c r="CE40" i="154"/>
  <c r="CE47" i="154"/>
  <c r="CA47" i="154"/>
  <c r="CE43" i="154"/>
  <c r="CE25" i="154"/>
  <c r="CE6" i="154"/>
  <c r="CA17" i="154"/>
  <c r="CA75" i="154"/>
  <c r="CA36" i="154"/>
  <c r="CA29" i="154"/>
  <c r="CA26" i="154"/>
  <c r="CA12" i="154"/>
  <c r="DB68" i="155" l="1"/>
  <c r="DE68" i="155" s="1"/>
  <c r="CX68" i="155"/>
  <c r="CZ68" i="155" s="1"/>
  <c r="DB19" i="155"/>
  <c r="DE19" i="155" s="1"/>
  <c r="CX19" i="155"/>
  <c r="CZ19" i="155" s="1"/>
  <c r="CX25" i="155"/>
  <c r="CZ25" i="155" s="1"/>
  <c r="DB22" i="155"/>
  <c r="DE22" i="155" s="1"/>
  <c r="DB6" i="155"/>
  <c r="DE6" i="155" s="1"/>
  <c r="CX6" i="155"/>
  <c r="CZ6" i="155" s="1"/>
  <c r="DB60" i="155"/>
  <c r="DE60" i="155" s="1"/>
  <c r="CX60" i="155"/>
  <c r="CZ60" i="155" s="1"/>
  <c r="DB14" i="155"/>
  <c r="DE14" i="155" s="1"/>
  <c r="CX14" i="155"/>
  <c r="CZ14" i="155" s="1"/>
  <c r="CX48" i="155"/>
  <c r="CZ48" i="155" s="1"/>
  <c r="DB48" i="155"/>
  <c r="DE48" i="155" s="1"/>
  <c r="DB17" i="155"/>
  <c r="DE17" i="155" s="1"/>
  <c r="CX17" i="155"/>
  <c r="CZ17" i="155" s="1"/>
  <c r="CX13" i="155"/>
  <c r="CZ13" i="155" s="1"/>
  <c r="DB13" i="155"/>
  <c r="DE13" i="155" s="1"/>
  <c r="CX36" i="155"/>
  <c r="CZ36" i="155" s="1"/>
  <c r="DB36" i="155"/>
  <c r="DE36" i="155" s="1"/>
  <c r="DB59" i="155"/>
  <c r="DE59" i="155" s="1"/>
  <c r="CX59" i="155"/>
  <c r="CZ59" i="155" s="1"/>
  <c r="CX63" i="155"/>
  <c r="CZ63" i="155" s="1"/>
  <c r="DB63" i="155"/>
  <c r="DE63" i="155" s="1"/>
  <c r="DB77" i="155"/>
  <c r="DE77" i="155" s="1"/>
  <c r="CX77" i="155"/>
  <c r="CZ77" i="155" s="1"/>
  <c r="DB75" i="155"/>
  <c r="DE75" i="155" s="1"/>
  <c r="CX75" i="155"/>
  <c r="CZ75" i="155" s="1"/>
  <c r="DB32" i="155"/>
  <c r="DE32" i="155" s="1"/>
  <c r="CX32" i="155"/>
  <c r="CZ32" i="155" s="1"/>
  <c r="CX29" i="155"/>
  <c r="CZ29" i="155" s="1"/>
  <c r="DB29" i="155"/>
  <c r="DE29" i="155" s="1"/>
  <c r="CX40" i="155"/>
  <c r="CZ40" i="155" s="1"/>
  <c r="DB40" i="155"/>
  <c r="DE40" i="155" s="1"/>
  <c r="DB15" i="155"/>
  <c r="DE15" i="155" s="1"/>
  <c r="CX15" i="155"/>
  <c r="CZ15" i="155" s="1"/>
  <c r="CX58" i="155"/>
  <c r="CZ58" i="155" s="1"/>
  <c r="DB58" i="155"/>
  <c r="DE58" i="155" s="1"/>
  <c r="DB27" i="155"/>
  <c r="DE27" i="155" s="1"/>
  <c r="CX27" i="155"/>
  <c r="CZ27" i="155" s="1"/>
  <c r="DB80" i="155"/>
  <c r="DE80" i="155" s="1"/>
  <c r="CX80" i="155"/>
  <c r="CZ80" i="155" s="1"/>
  <c r="CB83" i="154"/>
  <c r="CB75" i="154"/>
  <c r="CB63" i="154"/>
  <c r="CB59" i="154"/>
  <c r="CB17" i="154"/>
  <c r="CB29" i="154"/>
  <c r="CB39" i="154"/>
  <c r="CB12" i="154"/>
  <c r="CB32" i="154"/>
  <c r="CZ94" i="155" l="1"/>
  <c r="CZ95" i="155" s="1"/>
  <c r="CB40" i="154"/>
  <c r="CB27" i="154"/>
  <c r="CB15" i="154"/>
  <c r="CB60" i="154"/>
  <c r="BX36" i="154"/>
  <c r="CB36" i="154"/>
  <c r="CB25" i="154"/>
  <c r="CB23" i="154"/>
  <c r="CB16" i="154"/>
  <c r="CB14" i="154"/>
  <c r="CB58" i="154"/>
  <c r="BY59" i="154"/>
  <c r="CB22" i="154"/>
  <c r="CB80" i="154"/>
  <c r="CB77" i="154"/>
  <c r="CB18" i="154"/>
  <c r="BY40" i="154"/>
  <c r="BY15" i="154"/>
  <c r="BY32" i="154"/>
  <c r="BX60" i="154"/>
  <c r="BY60" i="154"/>
  <c r="BX75" i="154"/>
  <c r="BY75" i="154"/>
  <c r="BX29" i="154"/>
  <c r="BY29" i="154"/>
  <c r="BX48" i="154"/>
  <c r="BY83" i="154"/>
  <c r="BY82" i="154"/>
  <c r="BY63" i="154"/>
  <c r="BY17" i="154"/>
  <c r="BY12" i="154"/>
  <c r="BY27" i="154"/>
  <c r="BY14" i="154"/>
  <c r="BY48" i="154"/>
  <c r="BY80" i="154"/>
  <c r="BY58" i="154"/>
  <c r="BY25" i="154"/>
  <c r="BY16" i="154"/>
  <c r="BY13" i="154"/>
  <c r="BR29" i="154"/>
  <c r="BY22" i="154"/>
  <c r="BY77" i="154"/>
  <c r="BV13" i="154"/>
  <c r="BV32" i="154"/>
  <c r="BS77" i="154"/>
  <c r="BR17" i="154"/>
  <c r="BV77" i="154"/>
  <c r="BV60" i="154"/>
  <c r="BV40" i="154"/>
  <c r="BV27" i="154"/>
  <c r="BV22" i="154"/>
  <c r="BV16" i="154"/>
  <c r="BV15" i="154"/>
  <c r="BV14" i="154"/>
  <c r="BR75" i="154"/>
  <c r="BP17" i="154"/>
  <c r="BR32" i="154"/>
  <c r="BS32" i="154"/>
  <c r="BR60" i="154"/>
  <c r="BR53" i="154"/>
  <c r="BR39" i="154"/>
  <c r="BR36" i="154"/>
  <c r="BR12" i="154"/>
  <c r="BS82" i="154" l="1"/>
  <c r="BS75" i="154"/>
  <c r="BS63" i="154"/>
  <c r="BS59" i="154"/>
  <c r="BS17" i="154"/>
  <c r="BS29" i="154"/>
  <c r="BS39" i="154"/>
  <c r="BS12" i="154"/>
  <c r="BS15" i="154"/>
  <c r="BS25" i="154"/>
  <c r="BS16" i="154"/>
  <c r="BS14" i="154"/>
  <c r="BS13" i="154"/>
  <c r="BF27" i="154"/>
  <c r="BP32" i="154"/>
  <c r="BO60" i="154"/>
  <c r="BP59" i="154" l="1"/>
  <c r="BP36" i="154"/>
  <c r="BP29" i="154"/>
  <c r="BP14" i="154"/>
  <c r="BP83" i="154"/>
  <c r="BP75" i="154"/>
  <c r="BP63" i="154"/>
  <c r="BP39" i="154"/>
  <c r="BP12" i="154"/>
  <c r="BS27" i="154" l="1"/>
  <c r="BS22" i="154"/>
  <c r="BS48" i="154"/>
  <c r="BS47" i="154"/>
  <c r="BS40" i="154"/>
  <c r="BJ36" i="154" l="1"/>
  <c r="BI36" i="154"/>
  <c r="BS6" i="154"/>
  <c r="BS58" i="154"/>
  <c r="BI75" i="154"/>
  <c r="BJ75" i="154"/>
  <c r="BI32" i="154"/>
  <c r="BI29" i="154"/>
  <c r="BI17" i="154"/>
  <c r="BI12" i="154"/>
  <c r="BJ83" i="154"/>
  <c r="BJ63" i="154"/>
  <c r="BJ59" i="154"/>
  <c r="BJ17" i="154"/>
  <c r="BJ29" i="154"/>
  <c r="BJ12" i="154"/>
  <c r="BJ32" i="154"/>
  <c r="BG36" i="154"/>
  <c r="BJ60" i="154"/>
  <c r="BJ53" i="154"/>
  <c r="BJ16" i="154"/>
  <c r="BJ14" i="154"/>
  <c r="BJ77" i="154"/>
  <c r="BJ47" i="154"/>
  <c r="BJ48" i="154"/>
  <c r="BJ40" i="154"/>
  <c r="BJ27" i="154"/>
  <c r="BJ25" i="154"/>
  <c r="BJ43" i="154"/>
  <c r="BJ15" i="154"/>
  <c r="BF12" i="154"/>
  <c r="BD12" i="154"/>
  <c r="BF29" i="154"/>
  <c r="BF75" i="154"/>
  <c r="BF60" i="154" l="1"/>
  <c r="BF59" i="154"/>
  <c r="BF58" i="154"/>
  <c r="BF53" i="154"/>
  <c r="BF36" i="154"/>
  <c r="BF17" i="154"/>
  <c r="BF16" i="154"/>
  <c r="BG59" i="154"/>
  <c r="BG29" i="154"/>
  <c r="BG32" i="154"/>
  <c r="BG15" i="154"/>
  <c r="BG60" i="154" l="1"/>
  <c r="BG53" i="154"/>
  <c r="BG16" i="154"/>
  <c r="BG14" i="154"/>
  <c r="BG22" i="154"/>
  <c r="BD16" i="154"/>
  <c r="BC17" i="154"/>
  <c r="BG71" i="154"/>
  <c r="BG40" i="154"/>
  <c r="BG27" i="154"/>
  <c r="BG80" i="154"/>
  <c r="BG25" i="154"/>
  <c r="BG77" i="154"/>
  <c r="BD59" i="154"/>
  <c r="BD32" i="154"/>
  <c r="BC12" i="154"/>
  <c r="BA58" i="154"/>
  <c r="BA40" i="154"/>
  <c r="BC75" i="154"/>
  <c r="BD75" i="154"/>
  <c r="BC60" i="154"/>
  <c r="BC36" i="154"/>
  <c r="BC29" i="154"/>
  <c r="BD83" i="154"/>
  <c r="BD63" i="154"/>
  <c r="BD29" i="154"/>
  <c r="BD39" i="154"/>
  <c r="AW60" i="154"/>
  <c r="BD60" i="154"/>
  <c r="BD14" i="154"/>
  <c r="BD40" i="154"/>
  <c r="BD48" i="154"/>
  <c r="BD19" i="154"/>
  <c r="BD15" i="154"/>
  <c r="BD27" i="154"/>
  <c r="BD77" i="154"/>
  <c r="BD58" i="154"/>
  <c r="BD22" i="154"/>
  <c r="BA27" i="154"/>
  <c r="BA77" i="154"/>
  <c r="BA48" i="154"/>
  <c r="BA25" i="154"/>
  <c r="BA15" i="154"/>
  <c r="BA14" i="154"/>
  <c r="BA13" i="154"/>
  <c r="BA6" i="154"/>
  <c r="BA32" i="154"/>
  <c r="BA16" i="154"/>
  <c r="BA39" i="154"/>
  <c r="AW17" i="154"/>
  <c r="BA23" i="154"/>
  <c r="BA22" i="154"/>
  <c r="AX25" i="154"/>
  <c r="AW32" i="154"/>
  <c r="AX32" i="154"/>
  <c r="AW12" i="154"/>
  <c r="AX12" i="154"/>
  <c r="AT12" i="154"/>
  <c r="AW75" i="154"/>
  <c r="AW68" i="154"/>
  <c r="AW36" i="154"/>
  <c r="AW29" i="154"/>
  <c r="AX83" i="154"/>
  <c r="AX75" i="154"/>
  <c r="AX63" i="154"/>
  <c r="AX59" i="154"/>
  <c r="AX17" i="154"/>
  <c r="AX29" i="154"/>
  <c r="AX39" i="154"/>
  <c r="AX15" i="154"/>
  <c r="AT36" i="154"/>
  <c r="AX60" i="154"/>
  <c r="AX14" i="154"/>
  <c r="AX16" i="154"/>
  <c r="AX48" i="154"/>
  <c r="AX27" i="154"/>
  <c r="AX13" i="154"/>
  <c r="AX40" i="154"/>
  <c r="AX22" i="154"/>
  <c r="AX74" i="154"/>
  <c r="AL77" i="154"/>
  <c r="AX77" i="154"/>
  <c r="AX6" i="154"/>
  <c r="AT17" i="154"/>
  <c r="AU63" i="154"/>
  <c r="AU27" i="154"/>
  <c r="AU28" i="154"/>
  <c r="AT83" i="154"/>
  <c r="AT29" i="154"/>
  <c r="AU29" i="154"/>
  <c r="AT75" i="154"/>
  <c r="AT60" i="154"/>
  <c r="AT32" i="154"/>
  <c r="AT26" i="154"/>
  <c r="AU75" i="154"/>
  <c r="AU59" i="154"/>
  <c r="AU17" i="154"/>
  <c r="AU12" i="154"/>
  <c r="AU40" i="154"/>
  <c r="AU36" i="154"/>
  <c r="AU15" i="154"/>
  <c r="AN29" i="154" l="1"/>
  <c r="AO29" i="154"/>
  <c r="AU60" i="154"/>
  <c r="Y26" i="154"/>
  <c r="AU23" i="154"/>
  <c r="AU14" i="154"/>
  <c r="AU48" i="154"/>
  <c r="AU16" i="154"/>
  <c r="AU58" i="154"/>
  <c r="AU39" i="154"/>
  <c r="AU77" i="154"/>
  <c r="AN74" i="154"/>
  <c r="AN75" i="154"/>
  <c r="AN60" i="154" l="1"/>
  <c r="AN53" i="154"/>
  <c r="AN36" i="154"/>
  <c r="AN32" i="154"/>
  <c r="AN17" i="154"/>
  <c r="AN12" i="154"/>
  <c r="AO75" i="154"/>
  <c r="AO63" i="154"/>
  <c r="AO59" i="154"/>
  <c r="AO17" i="154"/>
  <c r="AO39" i="154"/>
  <c r="AO12" i="154"/>
  <c r="AO32" i="154"/>
  <c r="AO15" i="154"/>
  <c r="AO60" i="154" l="1"/>
  <c r="AO53" i="154"/>
  <c r="AO36" i="154"/>
  <c r="AO25" i="154"/>
  <c r="AO16" i="154"/>
  <c r="AO14" i="154"/>
  <c r="AU13" i="154"/>
  <c r="AU22" i="154"/>
  <c r="AO48" i="154"/>
  <c r="AO40" i="154"/>
  <c r="AO27" i="154"/>
  <c r="AO77" i="154"/>
  <c r="AK75" i="154"/>
  <c r="AK60" i="154"/>
  <c r="AK53" i="154"/>
  <c r="AK36" i="154"/>
  <c r="AK26" i="154"/>
  <c r="AK17" i="154"/>
  <c r="AK12" i="154"/>
  <c r="AL75" i="154"/>
  <c r="AL63" i="154"/>
  <c r="AL59" i="154"/>
  <c r="AL17" i="154"/>
  <c r="AL29" i="154"/>
  <c r="AL39" i="154"/>
  <c r="AL12" i="154"/>
  <c r="AL32" i="154"/>
  <c r="AL40" i="154" l="1"/>
  <c r="AL27" i="154"/>
  <c r="AL16" i="154"/>
  <c r="AL14" i="154" l="1"/>
  <c r="AL60" i="154"/>
  <c r="AL36" i="154"/>
  <c r="AL28" i="154"/>
  <c r="AL25" i="154"/>
  <c r="AL23" i="154"/>
  <c r="AL15" i="154"/>
  <c r="AH17" i="154"/>
  <c r="AH29" i="154"/>
  <c r="AH60" i="154"/>
  <c r="AI77" i="154" l="1"/>
  <c r="AL13" i="154"/>
  <c r="AL19" i="154"/>
  <c r="AL80" i="154"/>
  <c r="AL58" i="154"/>
  <c r="AL18" i="154"/>
  <c r="AI16" i="154"/>
  <c r="AH75" i="154"/>
  <c r="AI75" i="154"/>
  <c r="AH53" i="154"/>
  <c r="AH32" i="154"/>
  <c r="AI63" i="154"/>
  <c r="AI59" i="154"/>
  <c r="AI17" i="154"/>
  <c r="AI29" i="154"/>
  <c r="AI12" i="154"/>
  <c r="AI32" i="154"/>
  <c r="AI27" i="154" l="1"/>
  <c r="AI23" i="154"/>
  <c r="AI48" i="154"/>
  <c r="AI40" i="154"/>
  <c r="AI15" i="154"/>
  <c r="AI60" i="154"/>
  <c r="AI53" i="154"/>
  <c r="AI36" i="154"/>
  <c r="AI14" i="154"/>
  <c r="AI13" i="154"/>
  <c r="AB17" i="154"/>
  <c r="AF32" i="154"/>
  <c r="AB32" i="154"/>
  <c r="AI58" i="154"/>
  <c r="AI22" i="154"/>
  <c r="AI25" i="154"/>
  <c r="AI6" i="154"/>
  <c r="AF53" i="154"/>
  <c r="AF14" i="154"/>
  <c r="AB29" i="154"/>
  <c r="AF60" i="154"/>
  <c r="AF77" i="154"/>
  <c r="AF40" i="154"/>
  <c r="AF27" i="154"/>
  <c r="AF15" i="154"/>
  <c r="AF13" i="154"/>
  <c r="AF58" i="154"/>
  <c r="AF16" i="154"/>
  <c r="AF25" i="154"/>
  <c r="AF48" i="154"/>
  <c r="AB75" i="154"/>
  <c r="AC75" i="154"/>
  <c r="AC14" i="154"/>
  <c r="AB12" i="154"/>
  <c r="AC32" i="154"/>
  <c r="AC63" i="154"/>
  <c r="AC17" i="154"/>
  <c r="AC59" i="154"/>
  <c r="AB60" i="154"/>
  <c r="AB53" i="154"/>
  <c r="AB36" i="154"/>
  <c r="AC83" i="154"/>
  <c r="AC29" i="154"/>
  <c r="AC39" i="154"/>
  <c r="AC12" i="154"/>
  <c r="Y15" i="154"/>
  <c r="Y17" i="154"/>
  <c r="AC60" i="154"/>
  <c r="AC25" i="154"/>
  <c r="AC53" i="154"/>
  <c r="AC28" i="154"/>
  <c r="AC16" i="154"/>
  <c r="AC40" i="154"/>
  <c r="AC22" i="154"/>
  <c r="AC15" i="154"/>
  <c r="AC27" i="154"/>
  <c r="AC58" i="154"/>
  <c r="AC77" i="154"/>
  <c r="AC47" i="154"/>
  <c r="AC48" i="154"/>
  <c r="AC6" i="154"/>
  <c r="AC13" i="154"/>
  <c r="Z77" i="154"/>
  <c r="Z60" i="154"/>
  <c r="Y75" i="154"/>
  <c r="Y53" i="154"/>
  <c r="Y12" i="154"/>
  <c r="Z82" i="154"/>
  <c r="Z75" i="154"/>
  <c r="Z63" i="154"/>
  <c r="Z59" i="154"/>
  <c r="Z17" i="154"/>
  <c r="Z29" i="154"/>
  <c r="Z12" i="154"/>
  <c r="Z32" i="154"/>
  <c r="Z23" i="154"/>
  <c r="Z14" i="154"/>
  <c r="Z16" i="154"/>
  <c r="Z25" i="154"/>
  <c r="Z48" i="154"/>
  <c r="Z40" i="154"/>
  <c r="Z27" i="154"/>
  <c r="Z15" i="154"/>
  <c r="Z58" i="154"/>
  <c r="Z13" i="154"/>
  <c r="Z6" i="154"/>
  <c r="S32" i="154"/>
  <c r="S75" i="154"/>
  <c r="S53" i="154"/>
  <c r="S36" i="154"/>
  <c r="S29" i="154"/>
  <c r="S17" i="154"/>
  <c r="S12" i="154"/>
  <c r="T83" i="154"/>
  <c r="T63" i="154"/>
  <c r="T59" i="154"/>
  <c r="T17" i="154"/>
  <c r="T29" i="154"/>
  <c r="T39" i="154"/>
  <c r="T12" i="154"/>
  <c r="T32" i="154"/>
  <c r="M60" i="154"/>
  <c r="Q60" i="154"/>
  <c r="T60" i="154"/>
  <c r="T36" i="154"/>
  <c r="T27" i="154"/>
  <c r="T23" i="154"/>
  <c r="T16" i="154"/>
  <c r="T14" i="154"/>
  <c r="T40" i="154" l="1"/>
  <c r="T25" i="154"/>
  <c r="T15" i="154"/>
  <c r="T6" i="154"/>
  <c r="N27" i="154"/>
  <c r="T13" i="154"/>
  <c r="T48" i="154"/>
  <c r="N32" i="154"/>
  <c r="P75" i="154"/>
  <c r="Q75" i="154"/>
  <c r="P36" i="154"/>
  <c r="P29" i="154"/>
  <c r="P26" i="154"/>
  <c r="P17" i="154"/>
  <c r="P12" i="154"/>
  <c r="Q83" i="154"/>
  <c r="Q63" i="154"/>
  <c r="Q59" i="154"/>
  <c r="Q17" i="154"/>
  <c r="Q29" i="154"/>
  <c r="Q39" i="154"/>
  <c r="Q12" i="154"/>
  <c r="Q23" i="154" l="1"/>
  <c r="Q16" i="154"/>
  <c r="Q14" i="154"/>
  <c r="M17" i="154"/>
  <c r="Q13" i="154"/>
  <c r="Q22" i="154"/>
  <c r="Q58" i="154"/>
  <c r="Q48" i="154"/>
  <c r="Q40" i="154"/>
  <c r="Q27" i="154"/>
  <c r="Q15" i="154"/>
  <c r="Q80" i="154"/>
  <c r="Q77" i="154"/>
  <c r="M63" i="154"/>
  <c r="M36" i="154"/>
  <c r="N63" i="154"/>
  <c r="N83" i="154"/>
  <c r="N75" i="154"/>
  <c r="N59" i="154"/>
  <c r="N29" i="154"/>
  <c r="N39" i="154"/>
  <c r="N12" i="154"/>
  <c r="N60" i="154" l="1"/>
  <c r="N53" i="154"/>
  <c r="N36" i="154"/>
  <c r="N23" i="154"/>
  <c r="N14" i="154"/>
  <c r="N48" i="154"/>
  <c r="N13" i="154"/>
  <c r="N40" i="154"/>
  <c r="N22" i="154"/>
  <c r="N15" i="154"/>
  <c r="N58" i="154"/>
  <c r="N25" i="154"/>
  <c r="N77" i="154"/>
  <c r="K39" i="154"/>
  <c r="N16" i="154"/>
  <c r="N6" i="154"/>
  <c r="K36" i="154"/>
  <c r="K27" i="154"/>
  <c r="K25" i="154"/>
  <c r="K32" i="154"/>
  <c r="K40" i="154"/>
  <c r="K14" i="154"/>
  <c r="K58" i="154"/>
  <c r="K6" i="154"/>
  <c r="K16" i="154"/>
  <c r="K15" i="154"/>
  <c r="H36" i="154"/>
  <c r="K77" i="154"/>
  <c r="K23" i="154"/>
  <c r="K22" i="154"/>
  <c r="K60" i="154"/>
  <c r="G32" i="154"/>
  <c r="CV32" i="154" s="1"/>
  <c r="H32" i="154"/>
  <c r="G75" i="154"/>
  <c r="CV75" i="154" s="1"/>
  <c r="G63" i="154"/>
  <c r="G60" i="154"/>
  <c r="G59" i="154"/>
  <c r="G53" i="154"/>
  <c r="G43" i="154"/>
  <c r="G39" i="154"/>
  <c r="G36" i="154"/>
  <c r="G29" i="154"/>
  <c r="G26" i="154"/>
  <c r="I26" i="154" s="1"/>
  <c r="L26" i="154" s="1"/>
  <c r="O26" i="154" s="1"/>
  <c r="R26" i="154" s="1"/>
  <c r="U26" i="154" s="1"/>
  <c r="X26" i="154" s="1"/>
  <c r="AA26" i="154" s="1"/>
  <c r="AD26" i="154" s="1"/>
  <c r="AG26" i="154" s="1"/>
  <c r="AJ26" i="154" s="1"/>
  <c r="AM26" i="154" s="1"/>
  <c r="AP26" i="154" s="1"/>
  <c r="AS26" i="154" s="1"/>
  <c r="AV26" i="154" s="1"/>
  <c r="AY26" i="154" s="1"/>
  <c r="BB26" i="154" s="1"/>
  <c r="BE26" i="154" s="1"/>
  <c r="BH26" i="154" s="1"/>
  <c r="BK26" i="154" s="1"/>
  <c r="BN26" i="154" s="1"/>
  <c r="BQ26" i="154" s="1"/>
  <c r="BT26" i="154" s="1"/>
  <c r="BW26" i="154" s="1"/>
  <c r="BZ26" i="154" s="1"/>
  <c r="CC26" i="154" s="1"/>
  <c r="CF26" i="154" s="1"/>
  <c r="CI26" i="154" s="1"/>
  <c r="CL26" i="154" s="1"/>
  <c r="CO26" i="154" s="1"/>
  <c r="CR26" i="154" s="1"/>
  <c r="CU26" i="154" s="1"/>
  <c r="G25" i="154"/>
  <c r="I25" i="154" s="1"/>
  <c r="G17" i="154"/>
  <c r="I17" i="154" s="1"/>
  <c r="G16" i="154"/>
  <c r="CV16" i="154" s="1"/>
  <c r="G15" i="154"/>
  <c r="CV15" i="154" s="1"/>
  <c r="G14" i="154"/>
  <c r="CV14" i="154" s="1"/>
  <c r="G12" i="154"/>
  <c r="CV12" i="154" s="1"/>
  <c r="H59" i="154"/>
  <c r="H83" i="154"/>
  <c r="H75" i="154"/>
  <c r="H63" i="154"/>
  <c r="H17" i="154"/>
  <c r="H29" i="154"/>
  <c r="H39" i="154"/>
  <c r="I39" i="154" s="1"/>
  <c r="H12" i="154"/>
  <c r="CW12" i="154" s="1"/>
  <c r="H15" i="154"/>
  <c r="CV53" i="154"/>
  <c r="H53" i="154"/>
  <c r="H16" i="154"/>
  <c r="H14" i="154"/>
  <c r="H27" i="154"/>
  <c r="I27" i="154" s="1"/>
  <c r="H13" i="154"/>
  <c r="H40" i="154"/>
  <c r="I40" i="154" s="1"/>
  <c r="H48" i="154"/>
  <c r="I48" i="154" s="1"/>
  <c r="H77" i="154"/>
  <c r="I77" i="154" s="1"/>
  <c r="H58" i="154"/>
  <c r="I58" i="154" s="1"/>
  <c r="H6" i="154"/>
  <c r="H22" i="154"/>
  <c r="CP75" i="153"/>
  <c r="CQ75" i="153"/>
  <c r="CQ17" i="153"/>
  <c r="CP32" i="153"/>
  <c r="CP63" i="153"/>
  <c r="CP60" i="153"/>
  <c r="CP40" i="153"/>
  <c r="CP36" i="153"/>
  <c r="CP29" i="153"/>
  <c r="CP12" i="153"/>
  <c r="CQ83" i="153"/>
  <c r="CQ63" i="153"/>
  <c r="CQ59" i="153"/>
  <c r="CQ29" i="153"/>
  <c r="CQ39" i="153"/>
  <c r="CQ12" i="153"/>
  <c r="CQ32" i="153"/>
  <c r="CQ77" i="153"/>
  <c r="CQ25" i="153"/>
  <c r="CQ14" i="153"/>
  <c r="CK59" i="153"/>
  <c r="CQ48" i="153"/>
  <c r="CQ27" i="153"/>
  <c r="CQ16" i="153"/>
  <c r="CQ40" i="153"/>
  <c r="CQ22" i="153"/>
  <c r="CQ15" i="153"/>
  <c r="CQ43" i="153"/>
  <c r="CQ13" i="153"/>
  <c r="CW93" i="154"/>
  <c r="CV93" i="154"/>
  <c r="I93" i="154"/>
  <c r="L93" i="154" s="1"/>
  <c r="O93" i="154" s="1"/>
  <c r="R93" i="154" s="1"/>
  <c r="U93" i="154" s="1"/>
  <c r="X93" i="154" s="1"/>
  <c r="AA93" i="154" s="1"/>
  <c r="AD93" i="154" s="1"/>
  <c r="AG93" i="154" s="1"/>
  <c r="AJ93" i="154" s="1"/>
  <c r="AM93" i="154" s="1"/>
  <c r="AP93" i="154" s="1"/>
  <c r="AS93" i="154" s="1"/>
  <c r="AV93" i="154" s="1"/>
  <c r="AY93" i="154" s="1"/>
  <c r="BB93" i="154" s="1"/>
  <c r="BE93" i="154" s="1"/>
  <c r="BH93" i="154" s="1"/>
  <c r="BK93" i="154" s="1"/>
  <c r="BN93" i="154" s="1"/>
  <c r="BQ93" i="154" s="1"/>
  <c r="BT93" i="154" s="1"/>
  <c r="BW93" i="154" s="1"/>
  <c r="BZ93" i="154" s="1"/>
  <c r="CC93" i="154" s="1"/>
  <c r="CF93" i="154" s="1"/>
  <c r="CI93" i="154" s="1"/>
  <c r="CL93" i="154" s="1"/>
  <c r="CO93" i="154" s="1"/>
  <c r="CR93" i="154" s="1"/>
  <c r="CU93" i="154" s="1"/>
  <c r="CW92" i="154"/>
  <c r="CV92" i="154"/>
  <c r="I92" i="154"/>
  <c r="L92" i="154" s="1"/>
  <c r="O92" i="154" s="1"/>
  <c r="R92" i="154" s="1"/>
  <c r="U92" i="154" s="1"/>
  <c r="X92" i="154" s="1"/>
  <c r="AA92" i="154" s="1"/>
  <c r="AD92" i="154" s="1"/>
  <c r="AG92" i="154" s="1"/>
  <c r="AJ92" i="154" s="1"/>
  <c r="AM92" i="154" s="1"/>
  <c r="AP92" i="154" s="1"/>
  <c r="AS92" i="154" s="1"/>
  <c r="AV92" i="154" s="1"/>
  <c r="AY92" i="154" s="1"/>
  <c r="BB92" i="154" s="1"/>
  <c r="BE92" i="154" s="1"/>
  <c r="BH92" i="154" s="1"/>
  <c r="BK92" i="154" s="1"/>
  <c r="BN92" i="154" s="1"/>
  <c r="BQ92" i="154" s="1"/>
  <c r="BT92" i="154" s="1"/>
  <c r="BW92" i="154" s="1"/>
  <c r="BZ92" i="154" s="1"/>
  <c r="CC92" i="154" s="1"/>
  <c r="CF92" i="154" s="1"/>
  <c r="CI92" i="154" s="1"/>
  <c r="CL92" i="154" s="1"/>
  <c r="CO92" i="154" s="1"/>
  <c r="CR92" i="154" s="1"/>
  <c r="CU92" i="154" s="1"/>
  <c r="CW91" i="154"/>
  <c r="CV91" i="154"/>
  <c r="I91" i="154"/>
  <c r="L91" i="154" s="1"/>
  <c r="O91" i="154" s="1"/>
  <c r="R91" i="154" s="1"/>
  <c r="U91" i="154" s="1"/>
  <c r="X91" i="154" s="1"/>
  <c r="AA91" i="154" s="1"/>
  <c r="AD91" i="154" s="1"/>
  <c r="AG91" i="154" s="1"/>
  <c r="AJ91" i="154" s="1"/>
  <c r="AM91" i="154" s="1"/>
  <c r="AP91" i="154" s="1"/>
  <c r="AS91" i="154" s="1"/>
  <c r="AV91" i="154" s="1"/>
  <c r="AY91" i="154" s="1"/>
  <c r="BB91" i="154" s="1"/>
  <c r="BE91" i="154" s="1"/>
  <c r="BH91" i="154" s="1"/>
  <c r="BK91" i="154" s="1"/>
  <c r="BN91" i="154" s="1"/>
  <c r="BQ91" i="154" s="1"/>
  <c r="BT91" i="154" s="1"/>
  <c r="BW91" i="154" s="1"/>
  <c r="BZ91" i="154" s="1"/>
  <c r="CC91" i="154" s="1"/>
  <c r="CF91" i="154" s="1"/>
  <c r="CI91" i="154" s="1"/>
  <c r="CL91" i="154" s="1"/>
  <c r="CO91" i="154" s="1"/>
  <c r="CR91" i="154" s="1"/>
  <c r="CU91" i="154" s="1"/>
  <c r="CW90" i="154"/>
  <c r="CV90" i="154"/>
  <c r="I90" i="154"/>
  <c r="L90" i="154" s="1"/>
  <c r="O90" i="154" s="1"/>
  <c r="R90" i="154" s="1"/>
  <c r="U90" i="154" s="1"/>
  <c r="X90" i="154" s="1"/>
  <c r="AA90" i="154" s="1"/>
  <c r="AD90" i="154" s="1"/>
  <c r="AG90" i="154" s="1"/>
  <c r="AJ90" i="154" s="1"/>
  <c r="AM90" i="154" s="1"/>
  <c r="AP90" i="154" s="1"/>
  <c r="AS90" i="154" s="1"/>
  <c r="AV90" i="154" s="1"/>
  <c r="AY90" i="154" s="1"/>
  <c r="BB90" i="154" s="1"/>
  <c r="BE90" i="154" s="1"/>
  <c r="BH90" i="154" s="1"/>
  <c r="BK90" i="154" s="1"/>
  <c r="BN90" i="154" s="1"/>
  <c r="BQ90" i="154" s="1"/>
  <c r="BT90" i="154" s="1"/>
  <c r="BW90" i="154" s="1"/>
  <c r="BZ90" i="154" s="1"/>
  <c r="CC90" i="154" s="1"/>
  <c r="CF90" i="154" s="1"/>
  <c r="CI90" i="154" s="1"/>
  <c r="CL90" i="154" s="1"/>
  <c r="CO90" i="154" s="1"/>
  <c r="CR90" i="154" s="1"/>
  <c r="CU90" i="154" s="1"/>
  <c r="CW89" i="154"/>
  <c r="CV89" i="154"/>
  <c r="I89" i="154"/>
  <c r="L89" i="154" s="1"/>
  <c r="O89" i="154" s="1"/>
  <c r="R89" i="154" s="1"/>
  <c r="U89" i="154" s="1"/>
  <c r="X89" i="154" s="1"/>
  <c r="AA89" i="154" s="1"/>
  <c r="AD89" i="154" s="1"/>
  <c r="AG89" i="154" s="1"/>
  <c r="AJ89" i="154" s="1"/>
  <c r="AM89" i="154" s="1"/>
  <c r="AP89" i="154" s="1"/>
  <c r="AS89" i="154" s="1"/>
  <c r="AV89" i="154" s="1"/>
  <c r="AY89" i="154" s="1"/>
  <c r="BB89" i="154" s="1"/>
  <c r="BE89" i="154" s="1"/>
  <c r="BH89" i="154" s="1"/>
  <c r="BK89" i="154" s="1"/>
  <c r="BN89" i="154" s="1"/>
  <c r="BQ89" i="154" s="1"/>
  <c r="BT89" i="154" s="1"/>
  <c r="BW89" i="154" s="1"/>
  <c r="BZ89" i="154" s="1"/>
  <c r="CC89" i="154" s="1"/>
  <c r="CF89" i="154" s="1"/>
  <c r="CI89" i="154" s="1"/>
  <c r="CL89" i="154" s="1"/>
  <c r="CO89" i="154" s="1"/>
  <c r="CR89" i="154" s="1"/>
  <c r="CU89" i="154" s="1"/>
  <c r="CW88" i="154"/>
  <c r="CV88" i="154"/>
  <c r="I88" i="154"/>
  <c r="L88" i="154" s="1"/>
  <c r="O88" i="154" s="1"/>
  <c r="R88" i="154" s="1"/>
  <c r="U88" i="154" s="1"/>
  <c r="X88" i="154" s="1"/>
  <c r="AA88" i="154" s="1"/>
  <c r="AD88" i="154" s="1"/>
  <c r="AG88" i="154" s="1"/>
  <c r="AJ88" i="154" s="1"/>
  <c r="AM88" i="154" s="1"/>
  <c r="AP88" i="154" s="1"/>
  <c r="AS88" i="154" s="1"/>
  <c r="AV88" i="154" s="1"/>
  <c r="AY88" i="154" s="1"/>
  <c r="BB88" i="154" s="1"/>
  <c r="BE88" i="154" s="1"/>
  <c r="BH88" i="154" s="1"/>
  <c r="BK88" i="154" s="1"/>
  <c r="BN88" i="154" s="1"/>
  <c r="BQ88" i="154" s="1"/>
  <c r="BT88" i="154" s="1"/>
  <c r="BW88" i="154" s="1"/>
  <c r="BZ88" i="154" s="1"/>
  <c r="CC88" i="154" s="1"/>
  <c r="CF88" i="154" s="1"/>
  <c r="CI88" i="154" s="1"/>
  <c r="CL88" i="154" s="1"/>
  <c r="CO88" i="154" s="1"/>
  <c r="CR88" i="154" s="1"/>
  <c r="CU88" i="154" s="1"/>
  <c r="CW87" i="154"/>
  <c r="CV87" i="154"/>
  <c r="I87" i="154"/>
  <c r="L87" i="154" s="1"/>
  <c r="O87" i="154" s="1"/>
  <c r="R87" i="154" s="1"/>
  <c r="U87" i="154" s="1"/>
  <c r="X87" i="154" s="1"/>
  <c r="AA87" i="154" s="1"/>
  <c r="AD87" i="154" s="1"/>
  <c r="AG87" i="154" s="1"/>
  <c r="AJ87" i="154" s="1"/>
  <c r="AM87" i="154" s="1"/>
  <c r="AP87" i="154" s="1"/>
  <c r="AS87" i="154" s="1"/>
  <c r="AV87" i="154" s="1"/>
  <c r="AY87" i="154" s="1"/>
  <c r="BB87" i="154" s="1"/>
  <c r="BE87" i="154" s="1"/>
  <c r="BH87" i="154" s="1"/>
  <c r="BK87" i="154" s="1"/>
  <c r="BN87" i="154" s="1"/>
  <c r="BQ87" i="154" s="1"/>
  <c r="BT87" i="154" s="1"/>
  <c r="BW87" i="154" s="1"/>
  <c r="BZ87" i="154" s="1"/>
  <c r="CC87" i="154" s="1"/>
  <c r="CF87" i="154" s="1"/>
  <c r="CI87" i="154" s="1"/>
  <c r="CL87" i="154" s="1"/>
  <c r="CO87" i="154" s="1"/>
  <c r="CR87" i="154" s="1"/>
  <c r="CU87" i="154" s="1"/>
  <c r="CW86" i="154"/>
  <c r="CV86" i="154"/>
  <c r="I86" i="154"/>
  <c r="L86" i="154" s="1"/>
  <c r="O86" i="154" s="1"/>
  <c r="R86" i="154" s="1"/>
  <c r="U86" i="154" s="1"/>
  <c r="X86" i="154" s="1"/>
  <c r="AA86" i="154" s="1"/>
  <c r="AD86" i="154" s="1"/>
  <c r="AG86" i="154" s="1"/>
  <c r="AJ86" i="154" s="1"/>
  <c r="AM86" i="154" s="1"/>
  <c r="AP86" i="154" s="1"/>
  <c r="AS86" i="154" s="1"/>
  <c r="AV86" i="154" s="1"/>
  <c r="AY86" i="154" s="1"/>
  <c r="BB86" i="154" s="1"/>
  <c r="BE86" i="154" s="1"/>
  <c r="BH86" i="154" s="1"/>
  <c r="BK86" i="154" s="1"/>
  <c r="BN86" i="154" s="1"/>
  <c r="BQ86" i="154" s="1"/>
  <c r="BT86" i="154" s="1"/>
  <c r="BW86" i="154" s="1"/>
  <c r="BZ86" i="154" s="1"/>
  <c r="CC86" i="154" s="1"/>
  <c r="CF86" i="154" s="1"/>
  <c r="CI86" i="154" s="1"/>
  <c r="CL86" i="154" s="1"/>
  <c r="CO86" i="154" s="1"/>
  <c r="CR86" i="154" s="1"/>
  <c r="CU86" i="154" s="1"/>
  <c r="CW85" i="154"/>
  <c r="CV85" i="154"/>
  <c r="I85" i="154"/>
  <c r="L85" i="154" s="1"/>
  <c r="O85" i="154" s="1"/>
  <c r="R85" i="154" s="1"/>
  <c r="U85" i="154" s="1"/>
  <c r="X85" i="154" s="1"/>
  <c r="AA85" i="154" s="1"/>
  <c r="AD85" i="154" s="1"/>
  <c r="AG85" i="154" s="1"/>
  <c r="AJ85" i="154" s="1"/>
  <c r="AM85" i="154" s="1"/>
  <c r="AP85" i="154" s="1"/>
  <c r="AS85" i="154" s="1"/>
  <c r="AV85" i="154" s="1"/>
  <c r="AY85" i="154" s="1"/>
  <c r="BB85" i="154" s="1"/>
  <c r="BE85" i="154" s="1"/>
  <c r="BH85" i="154" s="1"/>
  <c r="BK85" i="154" s="1"/>
  <c r="BN85" i="154" s="1"/>
  <c r="BQ85" i="154" s="1"/>
  <c r="BT85" i="154" s="1"/>
  <c r="BW85" i="154" s="1"/>
  <c r="BZ85" i="154" s="1"/>
  <c r="CC85" i="154" s="1"/>
  <c r="CF85" i="154" s="1"/>
  <c r="CI85" i="154" s="1"/>
  <c r="CL85" i="154" s="1"/>
  <c r="CO85" i="154" s="1"/>
  <c r="CR85" i="154" s="1"/>
  <c r="CU85" i="154" s="1"/>
  <c r="CW84" i="154"/>
  <c r="CV84" i="154"/>
  <c r="I84" i="154"/>
  <c r="L84" i="154" s="1"/>
  <c r="O84" i="154" s="1"/>
  <c r="R84" i="154" s="1"/>
  <c r="U84" i="154" s="1"/>
  <c r="X84" i="154" s="1"/>
  <c r="AA84" i="154" s="1"/>
  <c r="AD84" i="154" s="1"/>
  <c r="AG84" i="154" s="1"/>
  <c r="AJ84" i="154" s="1"/>
  <c r="AM84" i="154" s="1"/>
  <c r="AP84" i="154" s="1"/>
  <c r="AS84" i="154" s="1"/>
  <c r="AV84" i="154" s="1"/>
  <c r="AY84" i="154" s="1"/>
  <c r="BB84" i="154" s="1"/>
  <c r="BE84" i="154" s="1"/>
  <c r="BH84" i="154" s="1"/>
  <c r="BK84" i="154" s="1"/>
  <c r="BN84" i="154" s="1"/>
  <c r="BQ84" i="154" s="1"/>
  <c r="BT84" i="154" s="1"/>
  <c r="BW84" i="154" s="1"/>
  <c r="BZ84" i="154" s="1"/>
  <c r="CC84" i="154" s="1"/>
  <c r="CF84" i="154" s="1"/>
  <c r="CI84" i="154" s="1"/>
  <c r="CL84" i="154" s="1"/>
  <c r="CO84" i="154" s="1"/>
  <c r="CR84" i="154" s="1"/>
  <c r="CU84" i="154" s="1"/>
  <c r="CV83" i="154"/>
  <c r="I83" i="154"/>
  <c r="L83" i="154" s="1"/>
  <c r="O83" i="154" s="1"/>
  <c r="R83" i="154" s="1"/>
  <c r="U83" i="154" s="1"/>
  <c r="X83" i="154" s="1"/>
  <c r="AA83" i="154" s="1"/>
  <c r="AD83" i="154" s="1"/>
  <c r="AG83" i="154" s="1"/>
  <c r="AJ83" i="154" s="1"/>
  <c r="AM83" i="154" s="1"/>
  <c r="AP83" i="154" s="1"/>
  <c r="AS83" i="154" s="1"/>
  <c r="AV83" i="154" s="1"/>
  <c r="AY83" i="154" s="1"/>
  <c r="BB83" i="154" s="1"/>
  <c r="BE83" i="154" s="1"/>
  <c r="BH83" i="154" s="1"/>
  <c r="BK83" i="154" s="1"/>
  <c r="BN83" i="154" s="1"/>
  <c r="BQ83" i="154" s="1"/>
  <c r="BT83" i="154" s="1"/>
  <c r="BW83" i="154" s="1"/>
  <c r="CV82" i="154"/>
  <c r="I82" i="154"/>
  <c r="L82" i="154" s="1"/>
  <c r="CW81" i="154"/>
  <c r="CV81" i="154"/>
  <c r="I81" i="154"/>
  <c r="L81" i="154" s="1"/>
  <c r="O81" i="154" s="1"/>
  <c r="R81" i="154" s="1"/>
  <c r="U81" i="154" s="1"/>
  <c r="X81" i="154" s="1"/>
  <c r="AA81" i="154" s="1"/>
  <c r="AD81" i="154" s="1"/>
  <c r="AG81" i="154" s="1"/>
  <c r="AJ81" i="154" s="1"/>
  <c r="AM81" i="154" s="1"/>
  <c r="AP81" i="154" s="1"/>
  <c r="AS81" i="154" s="1"/>
  <c r="AV81" i="154" s="1"/>
  <c r="AY81" i="154" s="1"/>
  <c r="BB81" i="154" s="1"/>
  <c r="BE81" i="154" s="1"/>
  <c r="BH81" i="154" s="1"/>
  <c r="BK81" i="154" s="1"/>
  <c r="BN81" i="154" s="1"/>
  <c r="BQ81" i="154" s="1"/>
  <c r="BT81" i="154" s="1"/>
  <c r="BW81" i="154" s="1"/>
  <c r="BZ81" i="154" s="1"/>
  <c r="CC81" i="154" s="1"/>
  <c r="CF81" i="154" s="1"/>
  <c r="CI81" i="154" s="1"/>
  <c r="CL81" i="154" s="1"/>
  <c r="CO81" i="154" s="1"/>
  <c r="CR81" i="154" s="1"/>
  <c r="CU81" i="154" s="1"/>
  <c r="CV80" i="154"/>
  <c r="I80" i="154"/>
  <c r="L80" i="154" s="1"/>
  <c r="O80" i="154" s="1"/>
  <c r="R80" i="154" s="1"/>
  <c r="U80" i="154" s="1"/>
  <c r="X80" i="154" s="1"/>
  <c r="AA80" i="154" s="1"/>
  <c r="AD80" i="154" s="1"/>
  <c r="AG80" i="154" s="1"/>
  <c r="AJ80" i="154" s="1"/>
  <c r="AM80" i="154" s="1"/>
  <c r="AP80" i="154" s="1"/>
  <c r="AS80" i="154" s="1"/>
  <c r="AV80" i="154" s="1"/>
  <c r="AY80" i="154" s="1"/>
  <c r="BB80" i="154" s="1"/>
  <c r="BE80" i="154" s="1"/>
  <c r="BH80" i="154" s="1"/>
  <c r="BK80" i="154" s="1"/>
  <c r="BN80" i="154" s="1"/>
  <c r="BQ80" i="154" s="1"/>
  <c r="BT80" i="154" s="1"/>
  <c r="BW80" i="154" s="1"/>
  <c r="BZ80" i="154" s="1"/>
  <c r="CC80" i="154" s="1"/>
  <c r="CF80" i="154" s="1"/>
  <c r="CI80" i="154" s="1"/>
  <c r="CL80" i="154" s="1"/>
  <c r="CO80" i="154" s="1"/>
  <c r="CR80" i="154" s="1"/>
  <c r="CU80" i="154" s="1"/>
  <c r="CW79" i="154"/>
  <c r="CV79" i="154"/>
  <c r="I79" i="154"/>
  <c r="L79" i="154" s="1"/>
  <c r="O79" i="154" s="1"/>
  <c r="R79" i="154" s="1"/>
  <c r="U79" i="154" s="1"/>
  <c r="X79" i="154" s="1"/>
  <c r="AA79" i="154" s="1"/>
  <c r="AD79" i="154" s="1"/>
  <c r="AG79" i="154" s="1"/>
  <c r="AJ79" i="154" s="1"/>
  <c r="AM79" i="154" s="1"/>
  <c r="AP79" i="154" s="1"/>
  <c r="AS79" i="154" s="1"/>
  <c r="AV79" i="154" s="1"/>
  <c r="AY79" i="154" s="1"/>
  <c r="BB79" i="154" s="1"/>
  <c r="BE79" i="154" s="1"/>
  <c r="BH79" i="154" s="1"/>
  <c r="BK79" i="154" s="1"/>
  <c r="BN79" i="154" s="1"/>
  <c r="BQ79" i="154" s="1"/>
  <c r="BT79" i="154" s="1"/>
  <c r="BW79" i="154" s="1"/>
  <c r="BZ79" i="154" s="1"/>
  <c r="CC79" i="154" s="1"/>
  <c r="CF79" i="154" s="1"/>
  <c r="CI79" i="154" s="1"/>
  <c r="CL79" i="154" s="1"/>
  <c r="CO79" i="154" s="1"/>
  <c r="CR79" i="154" s="1"/>
  <c r="CU79" i="154" s="1"/>
  <c r="CZ78" i="154"/>
  <c r="CW78" i="154"/>
  <c r="CV78" i="154"/>
  <c r="I78" i="154"/>
  <c r="L78" i="154" s="1"/>
  <c r="O78" i="154" s="1"/>
  <c r="R78" i="154" s="1"/>
  <c r="U78" i="154" s="1"/>
  <c r="X78" i="154" s="1"/>
  <c r="AA78" i="154" s="1"/>
  <c r="AD78" i="154" s="1"/>
  <c r="AG78" i="154" s="1"/>
  <c r="AJ78" i="154" s="1"/>
  <c r="AM78" i="154" s="1"/>
  <c r="AP78" i="154" s="1"/>
  <c r="AS78" i="154" s="1"/>
  <c r="AV78" i="154" s="1"/>
  <c r="AY78" i="154" s="1"/>
  <c r="BB78" i="154" s="1"/>
  <c r="BE78" i="154" s="1"/>
  <c r="BH78" i="154" s="1"/>
  <c r="BK78" i="154" s="1"/>
  <c r="BN78" i="154" s="1"/>
  <c r="BQ78" i="154" s="1"/>
  <c r="BT78" i="154" s="1"/>
  <c r="BW78" i="154" s="1"/>
  <c r="BZ78" i="154" s="1"/>
  <c r="CC78" i="154" s="1"/>
  <c r="CF78" i="154" s="1"/>
  <c r="CI78" i="154" s="1"/>
  <c r="CL78" i="154" s="1"/>
  <c r="CO78" i="154" s="1"/>
  <c r="CR78" i="154" s="1"/>
  <c r="CU78" i="154" s="1"/>
  <c r="DB78" i="154" s="1"/>
  <c r="DE78" i="154" s="1"/>
  <c r="CV77" i="154"/>
  <c r="CW76" i="154"/>
  <c r="CV76" i="154"/>
  <c r="I76" i="154"/>
  <c r="L76" i="154" s="1"/>
  <c r="O76" i="154" s="1"/>
  <c r="R76" i="154" s="1"/>
  <c r="U76" i="154" s="1"/>
  <c r="X76" i="154" s="1"/>
  <c r="AA76" i="154" s="1"/>
  <c r="AD76" i="154" s="1"/>
  <c r="AG76" i="154" s="1"/>
  <c r="AJ76" i="154" s="1"/>
  <c r="AM76" i="154" s="1"/>
  <c r="AP76" i="154" s="1"/>
  <c r="AS76" i="154" s="1"/>
  <c r="AV76" i="154" s="1"/>
  <c r="AY76" i="154" s="1"/>
  <c r="BB76" i="154" s="1"/>
  <c r="BE76" i="154" s="1"/>
  <c r="BH76" i="154" s="1"/>
  <c r="BK76" i="154" s="1"/>
  <c r="BN76" i="154" s="1"/>
  <c r="BQ76" i="154" s="1"/>
  <c r="BT76" i="154" s="1"/>
  <c r="BW76" i="154" s="1"/>
  <c r="BZ76" i="154" s="1"/>
  <c r="CC76" i="154" s="1"/>
  <c r="CF76" i="154" s="1"/>
  <c r="CI76" i="154" s="1"/>
  <c r="CL76" i="154" s="1"/>
  <c r="CO76" i="154" s="1"/>
  <c r="CR76" i="154" s="1"/>
  <c r="CU76" i="154" s="1"/>
  <c r="CW74" i="154"/>
  <c r="CV74" i="154"/>
  <c r="I74" i="154"/>
  <c r="L74" i="154" s="1"/>
  <c r="O74" i="154" s="1"/>
  <c r="R74" i="154" s="1"/>
  <c r="U74" i="154" s="1"/>
  <c r="X74" i="154" s="1"/>
  <c r="AA74" i="154" s="1"/>
  <c r="AD74" i="154" s="1"/>
  <c r="AG74" i="154" s="1"/>
  <c r="AJ74" i="154" s="1"/>
  <c r="AM74" i="154" s="1"/>
  <c r="AP74" i="154" s="1"/>
  <c r="AS74" i="154" s="1"/>
  <c r="AV74" i="154" s="1"/>
  <c r="AY74" i="154" s="1"/>
  <c r="BB74" i="154" s="1"/>
  <c r="BE74" i="154" s="1"/>
  <c r="BH74" i="154" s="1"/>
  <c r="BK74" i="154" s="1"/>
  <c r="BN74" i="154" s="1"/>
  <c r="BQ74" i="154" s="1"/>
  <c r="BT74" i="154" s="1"/>
  <c r="BW74" i="154" s="1"/>
  <c r="BZ74" i="154" s="1"/>
  <c r="CC74" i="154" s="1"/>
  <c r="CF74" i="154" s="1"/>
  <c r="CI74" i="154" s="1"/>
  <c r="CL74" i="154" s="1"/>
  <c r="CO74" i="154" s="1"/>
  <c r="CR74" i="154" s="1"/>
  <c r="CU74" i="154" s="1"/>
  <c r="CW73" i="154"/>
  <c r="CV73" i="154"/>
  <c r="I73" i="154"/>
  <c r="L73" i="154" s="1"/>
  <c r="O73" i="154" s="1"/>
  <c r="R73" i="154" s="1"/>
  <c r="U73" i="154" s="1"/>
  <c r="X73" i="154" s="1"/>
  <c r="AA73" i="154" s="1"/>
  <c r="AD73" i="154" s="1"/>
  <c r="AG73" i="154" s="1"/>
  <c r="AJ73" i="154" s="1"/>
  <c r="AM73" i="154" s="1"/>
  <c r="AP73" i="154" s="1"/>
  <c r="AS73" i="154" s="1"/>
  <c r="AV73" i="154" s="1"/>
  <c r="AY73" i="154" s="1"/>
  <c r="BB73" i="154" s="1"/>
  <c r="BE73" i="154" s="1"/>
  <c r="BH73" i="154" s="1"/>
  <c r="BK73" i="154" s="1"/>
  <c r="BN73" i="154" s="1"/>
  <c r="BQ73" i="154" s="1"/>
  <c r="BT73" i="154" s="1"/>
  <c r="BW73" i="154" s="1"/>
  <c r="BZ73" i="154" s="1"/>
  <c r="CC73" i="154" s="1"/>
  <c r="CF73" i="154" s="1"/>
  <c r="CI73" i="154" s="1"/>
  <c r="CL73" i="154" s="1"/>
  <c r="CO73" i="154" s="1"/>
  <c r="CR73" i="154" s="1"/>
  <c r="CU73" i="154" s="1"/>
  <c r="CW72" i="154"/>
  <c r="CV72" i="154"/>
  <c r="I72" i="154"/>
  <c r="L72" i="154" s="1"/>
  <c r="O72" i="154" s="1"/>
  <c r="R72" i="154" s="1"/>
  <c r="U72" i="154" s="1"/>
  <c r="X72" i="154" s="1"/>
  <c r="AA72" i="154" s="1"/>
  <c r="AD72" i="154" s="1"/>
  <c r="AG72" i="154" s="1"/>
  <c r="AJ72" i="154" s="1"/>
  <c r="AM72" i="154" s="1"/>
  <c r="AP72" i="154" s="1"/>
  <c r="AS72" i="154" s="1"/>
  <c r="AV72" i="154" s="1"/>
  <c r="AY72" i="154" s="1"/>
  <c r="BB72" i="154" s="1"/>
  <c r="BE72" i="154" s="1"/>
  <c r="BH72" i="154" s="1"/>
  <c r="BK72" i="154" s="1"/>
  <c r="BN72" i="154" s="1"/>
  <c r="BQ72" i="154" s="1"/>
  <c r="BT72" i="154" s="1"/>
  <c r="BW72" i="154" s="1"/>
  <c r="BZ72" i="154" s="1"/>
  <c r="CC72" i="154" s="1"/>
  <c r="CF72" i="154" s="1"/>
  <c r="CI72" i="154" s="1"/>
  <c r="CL72" i="154" s="1"/>
  <c r="CO72" i="154" s="1"/>
  <c r="CR72" i="154" s="1"/>
  <c r="CU72" i="154" s="1"/>
  <c r="CW71" i="154"/>
  <c r="CV71" i="154"/>
  <c r="I71" i="154"/>
  <c r="L71" i="154" s="1"/>
  <c r="O71" i="154" s="1"/>
  <c r="R71" i="154" s="1"/>
  <c r="U71" i="154" s="1"/>
  <c r="X71" i="154" s="1"/>
  <c r="AA71" i="154" s="1"/>
  <c r="AD71" i="154" s="1"/>
  <c r="AG71" i="154" s="1"/>
  <c r="AJ71" i="154" s="1"/>
  <c r="AM71" i="154" s="1"/>
  <c r="AP71" i="154" s="1"/>
  <c r="AS71" i="154" s="1"/>
  <c r="AV71" i="154" s="1"/>
  <c r="AY71" i="154" s="1"/>
  <c r="BB71" i="154" s="1"/>
  <c r="BE71" i="154" s="1"/>
  <c r="BH71" i="154" s="1"/>
  <c r="BK71" i="154" s="1"/>
  <c r="BN71" i="154" s="1"/>
  <c r="BQ71" i="154" s="1"/>
  <c r="BT71" i="154" s="1"/>
  <c r="BW71" i="154" s="1"/>
  <c r="BZ71" i="154" s="1"/>
  <c r="CC71" i="154" s="1"/>
  <c r="CF71" i="154" s="1"/>
  <c r="CI71" i="154" s="1"/>
  <c r="CL71" i="154" s="1"/>
  <c r="CO71" i="154" s="1"/>
  <c r="CR71" i="154" s="1"/>
  <c r="CU71" i="154" s="1"/>
  <c r="CV70" i="154"/>
  <c r="CW70" i="154"/>
  <c r="I70" i="154"/>
  <c r="L70" i="154" s="1"/>
  <c r="O70" i="154" s="1"/>
  <c r="R70" i="154" s="1"/>
  <c r="U70" i="154" s="1"/>
  <c r="X70" i="154" s="1"/>
  <c r="AA70" i="154" s="1"/>
  <c r="AD70" i="154" s="1"/>
  <c r="AG70" i="154" s="1"/>
  <c r="AJ70" i="154" s="1"/>
  <c r="AM70" i="154" s="1"/>
  <c r="AP70" i="154" s="1"/>
  <c r="AS70" i="154" s="1"/>
  <c r="AV70" i="154" s="1"/>
  <c r="AY70" i="154" s="1"/>
  <c r="BB70" i="154" s="1"/>
  <c r="BE70" i="154" s="1"/>
  <c r="BH70" i="154" s="1"/>
  <c r="BK70" i="154" s="1"/>
  <c r="BN70" i="154" s="1"/>
  <c r="BQ70" i="154" s="1"/>
  <c r="BT70" i="154" s="1"/>
  <c r="BW70" i="154" s="1"/>
  <c r="BZ70" i="154" s="1"/>
  <c r="CC70" i="154" s="1"/>
  <c r="CF70" i="154" s="1"/>
  <c r="CI70" i="154" s="1"/>
  <c r="CL70" i="154" s="1"/>
  <c r="CO70" i="154" s="1"/>
  <c r="CR70" i="154" s="1"/>
  <c r="CU70" i="154" s="1"/>
  <c r="CW69" i="154"/>
  <c r="CV69" i="154"/>
  <c r="I69" i="154"/>
  <c r="L69" i="154" s="1"/>
  <c r="O69" i="154" s="1"/>
  <c r="R69" i="154" s="1"/>
  <c r="U69" i="154" s="1"/>
  <c r="X69" i="154" s="1"/>
  <c r="AA69" i="154" s="1"/>
  <c r="AD69" i="154" s="1"/>
  <c r="AG69" i="154" s="1"/>
  <c r="AJ69" i="154" s="1"/>
  <c r="AM69" i="154" s="1"/>
  <c r="AP69" i="154" s="1"/>
  <c r="AS69" i="154" s="1"/>
  <c r="AV69" i="154" s="1"/>
  <c r="AY69" i="154" s="1"/>
  <c r="BB69" i="154" s="1"/>
  <c r="BE69" i="154" s="1"/>
  <c r="BH69" i="154" s="1"/>
  <c r="BK69" i="154" s="1"/>
  <c r="BN69" i="154" s="1"/>
  <c r="BQ69" i="154" s="1"/>
  <c r="BT69" i="154" s="1"/>
  <c r="BW69" i="154" s="1"/>
  <c r="BZ69" i="154" s="1"/>
  <c r="CC69" i="154" s="1"/>
  <c r="CF69" i="154" s="1"/>
  <c r="CI69" i="154" s="1"/>
  <c r="CL69" i="154" s="1"/>
  <c r="CO69" i="154" s="1"/>
  <c r="CR69" i="154" s="1"/>
  <c r="CU69" i="154" s="1"/>
  <c r="DB69" i="154" s="1"/>
  <c r="DE69" i="154" s="1"/>
  <c r="CW68" i="154"/>
  <c r="CV68" i="154"/>
  <c r="I68" i="154"/>
  <c r="L68" i="154" s="1"/>
  <c r="O68" i="154" s="1"/>
  <c r="R68" i="154" s="1"/>
  <c r="U68" i="154" s="1"/>
  <c r="X68" i="154" s="1"/>
  <c r="AA68" i="154" s="1"/>
  <c r="AD68" i="154" s="1"/>
  <c r="AG68" i="154" s="1"/>
  <c r="AJ68" i="154" s="1"/>
  <c r="AM68" i="154" s="1"/>
  <c r="AP68" i="154" s="1"/>
  <c r="AS68" i="154" s="1"/>
  <c r="AV68" i="154" s="1"/>
  <c r="AY68" i="154" s="1"/>
  <c r="BB68" i="154" s="1"/>
  <c r="BE68" i="154" s="1"/>
  <c r="BH68" i="154" s="1"/>
  <c r="BK68" i="154" s="1"/>
  <c r="BN68" i="154" s="1"/>
  <c r="BQ68" i="154" s="1"/>
  <c r="BT68" i="154" s="1"/>
  <c r="BW68" i="154" s="1"/>
  <c r="BZ68" i="154" s="1"/>
  <c r="CC68" i="154" s="1"/>
  <c r="CF68" i="154" s="1"/>
  <c r="CI68" i="154" s="1"/>
  <c r="CL68" i="154" s="1"/>
  <c r="CO68" i="154" s="1"/>
  <c r="CR68" i="154" s="1"/>
  <c r="CU68" i="154" s="1"/>
  <c r="CW67" i="154"/>
  <c r="CV67" i="154"/>
  <c r="I67" i="154"/>
  <c r="L67" i="154" s="1"/>
  <c r="O67" i="154" s="1"/>
  <c r="R67" i="154" s="1"/>
  <c r="U67" i="154" s="1"/>
  <c r="X67" i="154" s="1"/>
  <c r="AA67" i="154" s="1"/>
  <c r="AD67" i="154" s="1"/>
  <c r="AG67" i="154" s="1"/>
  <c r="AJ67" i="154" s="1"/>
  <c r="AM67" i="154" s="1"/>
  <c r="AP67" i="154" s="1"/>
  <c r="AS67" i="154" s="1"/>
  <c r="AV67" i="154" s="1"/>
  <c r="AY67" i="154" s="1"/>
  <c r="BB67" i="154" s="1"/>
  <c r="BE67" i="154" s="1"/>
  <c r="BH67" i="154" s="1"/>
  <c r="BK67" i="154" s="1"/>
  <c r="BN67" i="154" s="1"/>
  <c r="BQ67" i="154" s="1"/>
  <c r="BT67" i="154" s="1"/>
  <c r="BW67" i="154" s="1"/>
  <c r="BZ67" i="154" s="1"/>
  <c r="CC67" i="154" s="1"/>
  <c r="CF67" i="154" s="1"/>
  <c r="CI67" i="154" s="1"/>
  <c r="CL67" i="154" s="1"/>
  <c r="CO67" i="154" s="1"/>
  <c r="CR67" i="154" s="1"/>
  <c r="CU67" i="154" s="1"/>
  <c r="CW66" i="154"/>
  <c r="CV66" i="154"/>
  <c r="I66" i="154"/>
  <c r="L66" i="154" s="1"/>
  <c r="O66" i="154" s="1"/>
  <c r="R66" i="154" s="1"/>
  <c r="U66" i="154" s="1"/>
  <c r="X66" i="154" s="1"/>
  <c r="AA66" i="154" s="1"/>
  <c r="AD66" i="154" s="1"/>
  <c r="AG66" i="154" s="1"/>
  <c r="AJ66" i="154" s="1"/>
  <c r="AM66" i="154" s="1"/>
  <c r="AP66" i="154" s="1"/>
  <c r="AS66" i="154" s="1"/>
  <c r="AV66" i="154" s="1"/>
  <c r="AY66" i="154" s="1"/>
  <c r="BB66" i="154" s="1"/>
  <c r="BE66" i="154" s="1"/>
  <c r="BH66" i="154" s="1"/>
  <c r="BK66" i="154" s="1"/>
  <c r="BN66" i="154" s="1"/>
  <c r="BQ66" i="154" s="1"/>
  <c r="BT66" i="154" s="1"/>
  <c r="BW66" i="154" s="1"/>
  <c r="BZ66" i="154" s="1"/>
  <c r="CC66" i="154" s="1"/>
  <c r="CF66" i="154" s="1"/>
  <c r="CI66" i="154" s="1"/>
  <c r="CL66" i="154" s="1"/>
  <c r="CO66" i="154" s="1"/>
  <c r="CR66" i="154" s="1"/>
  <c r="CU66" i="154" s="1"/>
  <c r="CV65" i="154"/>
  <c r="I65" i="154"/>
  <c r="L65" i="154" s="1"/>
  <c r="O65" i="154" s="1"/>
  <c r="R65" i="154" s="1"/>
  <c r="U65" i="154" s="1"/>
  <c r="X65" i="154" s="1"/>
  <c r="AA65" i="154" s="1"/>
  <c r="AD65" i="154" s="1"/>
  <c r="AG65" i="154" s="1"/>
  <c r="AJ65" i="154" s="1"/>
  <c r="AM65" i="154" s="1"/>
  <c r="AP65" i="154" s="1"/>
  <c r="AS65" i="154" s="1"/>
  <c r="AV65" i="154" s="1"/>
  <c r="AY65" i="154" s="1"/>
  <c r="BB65" i="154" s="1"/>
  <c r="BE65" i="154" s="1"/>
  <c r="BH65" i="154" s="1"/>
  <c r="BK65" i="154" s="1"/>
  <c r="BN65" i="154" s="1"/>
  <c r="BQ65" i="154" s="1"/>
  <c r="BT65" i="154" s="1"/>
  <c r="BW65" i="154" s="1"/>
  <c r="BZ65" i="154" s="1"/>
  <c r="CC65" i="154" s="1"/>
  <c r="CF65" i="154" s="1"/>
  <c r="CI65" i="154" s="1"/>
  <c r="CL65" i="154" s="1"/>
  <c r="CO65" i="154" s="1"/>
  <c r="CR65" i="154" s="1"/>
  <c r="CU65" i="154" s="1"/>
  <c r="CW64" i="154"/>
  <c r="CV64" i="154"/>
  <c r="I64" i="154"/>
  <c r="L64" i="154" s="1"/>
  <c r="O64" i="154" s="1"/>
  <c r="R64" i="154" s="1"/>
  <c r="U64" i="154" s="1"/>
  <c r="X64" i="154" s="1"/>
  <c r="AA64" i="154" s="1"/>
  <c r="AD64" i="154" s="1"/>
  <c r="AG64" i="154" s="1"/>
  <c r="AJ64" i="154" s="1"/>
  <c r="AM64" i="154" s="1"/>
  <c r="AP64" i="154" s="1"/>
  <c r="AS64" i="154" s="1"/>
  <c r="AV64" i="154" s="1"/>
  <c r="AY64" i="154" s="1"/>
  <c r="BB64" i="154" s="1"/>
  <c r="BE64" i="154" s="1"/>
  <c r="BH64" i="154" s="1"/>
  <c r="BK64" i="154" s="1"/>
  <c r="BN64" i="154" s="1"/>
  <c r="BQ64" i="154" s="1"/>
  <c r="BT64" i="154" s="1"/>
  <c r="BW64" i="154" s="1"/>
  <c r="BZ64" i="154" s="1"/>
  <c r="CC64" i="154" s="1"/>
  <c r="CF64" i="154" s="1"/>
  <c r="CI64" i="154" s="1"/>
  <c r="CL64" i="154" s="1"/>
  <c r="CO64" i="154" s="1"/>
  <c r="CR64" i="154" s="1"/>
  <c r="CU64" i="154" s="1"/>
  <c r="CW62" i="154"/>
  <c r="CV62" i="154"/>
  <c r="I62" i="154"/>
  <c r="L62" i="154" s="1"/>
  <c r="O62" i="154" s="1"/>
  <c r="R62" i="154" s="1"/>
  <c r="U62" i="154" s="1"/>
  <c r="X62" i="154" s="1"/>
  <c r="AA62" i="154" s="1"/>
  <c r="AD62" i="154" s="1"/>
  <c r="AG62" i="154" s="1"/>
  <c r="AJ62" i="154" s="1"/>
  <c r="AM62" i="154" s="1"/>
  <c r="AP62" i="154" s="1"/>
  <c r="AS62" i="154" s="1"/>
  <c r="AV62" i="154" s="1"/>
  <c r="AY62" i="154" s="1"/>
  <c r="BB62" i="154" s="1"/>
  <c r="BE62" i="154" s="1"/>
  <c r="BH62" i="154" s="1"/>
  <c r="BK62" i="154" s="1"/>
  <c r="BN62" i="154" s="1"/>
  <c r="BQ62" i="154" s="1"/>
  <c r="BT62" i="154" s="1"/>
  <c r="BW62" i="154" s="1"/>
  <c r="BZ62" i="154" s="1"/>
  <c r="CC62" i="154" s="1"/>
  <c r="CF62" i="154" s="1"/>
  <c r="CI62" i="154" s="1"/>
  <c r="CL62" i="154" s="1"/>
  <c r="CO62" i="154" s="1"/>
  <c r="CR62" i="154" s="1"/>
  <c r="CU62" i="154" s="1"/>
  <c r="CW61" i="154"/>
  <c r="CV61" i="154"/>
  <c r="I61" i="154"/>
  <c r="L61" i="154" s="1"/>
  <c r="O61" i="154" s="1"/>
  <c r="R61" i="154" s="1"/>
  <c r="U61" i="154" s="1"/>
  <c r="X61" i="154" s="1"/>
  <c r="AA61" i="154" s="1"/>
  <c r="AD61" i="154" s="1"/>
  <c r="AG61" i="154" s="1"/>
  <c r="AJ61" i="154" s="1"/>
  <c r="AM61" i="154" s="1"/>
  <c r="AP61" i="154" s="1"/>
  <c r="AS61" i="154" s="1"/>
  <c r="AV61" i="154" s="1"/>
  <c r="AY61" i="154" s="1"/>
  <c r="BB61" i="154" s="1"/>
  <c r="BE61" i="154" s="1"/>
  <c r="BH61" i="154" s="1"/>
  <c r="BK61" i="154" s="1"/>
  <c r="BN61" i="154" s="1"/>
  <c r="BQ61" i="154" s="1"/>
  <c r="BT61" i="154" s="1"/>
  <c r="BW61" i="154" s="1"/>
  <c r="BZ61" i="154" s="1"/>
  <c r="CC61" i="154" s="1"/>
  <c r="CF61" i="154" s="1"/>
  <c r="CI61" i="154" s="1"/>
  <c r="CL61" i="154" s="1"/>
  <c r="CO61" i="154" s="1"/>
  <c r="CR61" i="154" s="1"/>
  <c r="CU61" i="154" s="1"/>
  <c r="I60" i="154"/>
  <c r="CV59" i="154"/>
  <c r="CV58" i="154"/>
  <c r="CW57" i="154"/>
  <c r="CV57" i="154"/>
  <c r="I57" i="154"/>
  <c r="L57" i="154" s="1"/>
  <c r="O57" i="154" s="1"/>
  <c r="R57" i="154" s="1"/>
  <c r="U57" i="154" s="1"/>
  <c r="X57" i="154" s="1"/>
  <c r="AA57" i="154" s="1"/>
  <c r="AD57" i="154" s="1"/>
  <c r="AG57" i="154" s="1"/>
  <c r="AJ57" i="154" s="1"/>
  <c r="AM57" i="154" s="1"/>
  <c r="AP57" i="154" s="1"/>
  <c r="AS57" i="154" s="1"/>
  <c r="AV57" i="154" s="1"/>
  <c r="AY57" i="154" s="1"/>
  <c r="BB57" i="154" s="1"/>
  <c r="BE57" i="154" s="1"/>
  <c r="BH57" i="154" s="1"/>
  <c r="BK57" i="154" s="1"/>
  <c r="BN57" i="154" s="1"/>
  <c r="BQ57" i="154" s="1"/>
  <c r="BT57" i="154" s="1"/>
  <c r="BW57" i="154" s="1"/>
  <c r="BZ57" i="154" s="1"/>
  <c r="CC57" i="154" s="1"/>
  <c r="CF57" i="154" s="1"/>
  <c r="CI57" i="154" s="1"/>
  <c r="CL57" i="154" s="1"/>
  <c r="CO57" i="154" s="1"/>
  <c r="CR57" i="154" s="1"/>
  <c r="CU57" i="154" s="1"/>
  <c r="CW56" i="154"/>
  <c r="CV56" i="154"/>
  <c r="I56" i="154"/>
  <c r="L56" i="154" s="1"/>
  <c r="O56" i="154" s="1"/>
  <c r="R56" i="154" s="1"/>
  <c r="U56" i="154" s="1"/>
  <c r="X56" i="154" s="1"/>
  <c r="AA56" i="154" s="1"/>
  <c r="AD56" i="154" s="1"/>
  <c r="AG56" i="154" s="1"/>
  <c r="AJ56" i="154" s="1"/>
  <c r="AM56" i="154" s="1"/>
  <c r="AP56" i="154" s="1"/>
  <c r="AS56" i="154" s="1"/>
  <c r="AV56" i="154" s="1"/>
  <c r="AY56" i="154" s="1"/>
  <c r="BB56" i="154" s="1"/>
  <c r="BE56" i="154" s="1"/>
  <c r="BH56" i="154" s="1"/>
  <c r="BK56" i="154" s="1"/>
  <c r="BN56" i="154" s="1"/>
  <c r="BQ56" i="154" s="1"/>
  <c r="BT56" i="154" s="1"/>
  <c r="BW56" i="154" s="1"/>
  <c r="BZ56" i="154" s="1"/>
  <c r="CC56" i="154" s="1"/>
  <c r="CF56" i="154" s="1"/>
  <c r="CI56" i="154" s="1"/>
  <c r="CL56" i="154" s="1"/>
  <c r="CO56" i="154" s="1"/>
  <c r="CR56" i="154" s="1"/>
  <c r="CU56" i="154" s="1"/>
  <c r="CW55" i="154"/>
  <c r="CV55" i="154"/>
  <c r="I55" i="154"/>
  <c r="L55" i="154" s="1"/>
  <c r="O55" i="154" s="1"/>
  <c r="R55" i="154" s="1"/>
  <c r="U55" i="154" s="1"/>
  <c r="X55" i="154" s="1"/>
  <c r="AA55" i="154" s="1"/>
  <c r="AD55" i="154" s="1"/>
  <c r="AG55" i="154" s="1"/>
  <c r="AJ55" i="154" s="1"/>
  <c r="AM55" i="154" s="1"/>
  <c r="AP55" i="154" s="1"/>
  <c r="AS55" i="154" s="1"/>
  <c r="AV55" i="154" s="1"/>
  <c r="AY55" i="154" s="1"/>
  <c r="BB55" i="154" s="1"/>
  <c r="BE55" i="154" s="1"/>
  <c r="BH55" i="154" s="1"/>
  <c r="BK55" i="154" s="1"/>
  <c r="BN55" i="154" s="1"/>
  <c r="BQ55" i="154" s="1"/>
  <c r="BT55" i="154" s="1"/>
  <c r="BW55" i="154" s="1"/>
  <c r="BZ55" i="154" s="1"/>
  <c r="CC55" i="154" s="1"/>
  <c r="CF55" i="154" s="1"/>
  <c r="CI55" i="154" s="1"/>
  <c r="CL55" i="154" s="1"/>
  <c r="CO55" i="154" s="1"/>
  <c r="CR55" i="154" s="1"/>
  <c r="CU55" i="154" s="1"/>
  <c r="CW54" i="154"/>
  <c r="CV54" i="154"/>
  <c r="I54" i="154"/>
  <c r="L54" i="154" s="1"/>
  <c r="O54" i="154" s="1"/>
  <c r="R54" i="154" s="1"/>
  <c r="U54" i="154" s="1"/>
  <c r="X54" i="154" s="1"/>
  <c r="AA54" i="154" s="1"/>
  <c r="AD54" i="154" s="1"/>
  <c r="AG54" i="154" s="1"/>
  <c r="AJ54" i="154" s="1"/>
  <c r="AM54" i="154" s="1"/>
  <c r="AP54" i="154" s="1"/>
  <c r="AS54" i="154" s="1"/>
  <c r="AV54" i="154" s="1"/>
  <c r="AY54" i="154" s="1"/>
  <c r="BB54" i="154" s="1"/>
  <c r="BE54" i="154" s="1"/>
  <c r="BH54" i="154" s="1"/>
  <c r="BK54" i="154" s="1"/>
  <c r="BN54" i="154" s="1"/>
  <c r="BQ54" i="154" s="1"/>
  <c r="BT54" i="154" s="1"/>
  <c r="BW54" i="154" s="1"/>
  <c r="BZ54" i="154" s="1"/>
  <c r="CC54" i="154" s="1"/>
  <c r="CF54" i="154" s="1"/>
  <c r="CI54" i="154" s="1"/>
  <c r="CL54" i="154" s="1"/>
  <c r="CO54" i="154" s="1"/>
  <c r="CR54" i="154" s="1"/>
  <c r="CU54" i="154" s="1"/>
  <c r="CW52" i="154"/>
  <c r="CV52" i="154"/>
  <c r="I52" i="154"/>
  <c r="L52" i="154" s="1"/>
  <c r="O52" i="154" s="1"/>
  <c r="R52" i="154" s="1"/>
  <c r="U52" i="154" s="1"/>
  <c r="X52" i="154" s="1"/>
  <c r="AA52" i="154" s="1"/>
  <c r="AD52" i="154" s="1"/>
  <c r="AG52" i="154" s="1"/>
  <c r="AJ52" i="154" s="1"/>
  <c r="AM52" i="154" s="1"/>
  <c r="AP52" i="154" s="1"/>
  <c r="AS52" i="154" s="1"/>
  <c r="AV52" i="154" s="1"/>
  <c r="AY52" i="154" s="1"/>
  <c r="BB52" i="154" s="1"/>
  <c r="BE52" i="154" s="1"/>
  <c r="BH52" i="154" s="1"/>
  <c r="BK52" i="154" s="1"/>
  <c r="BN52" i="154" s="1"/>
  <c r="BQ52" i="154" s="1"/>
  <c r="BT52" i="154" s="1"/>
  <c r="BW52" i="154" s="1"/>
  <c r="BZ52" i="154" s="1"/>
  <c r="CC52" i="154" s="1"/>
  <c r="CF52" i="154" s="1"/>
  <c r="CI52" i="154" s="1"/>
  <c r="CL52" i="154" s="1"/>
  <c r="CO52" i="154" s="1"/>
  <c r="CR52" i="154" s="1"/>
  <c r="CU52" i="154" s="1"/>
  <c r="CW51" i="154"/>
  <c r="CV51" i="154"/>
  <c r="I51" i="154"/>
  <c r="L51" i="154" s="1"/>
  <c r="O51" i="154" s="1"/>
  <c r="R51" i="154" s="1"/>
  <c r="U51" i="154" s="1"/>
  <c r="X51" i="154" s="1"/>
  <c r="AA51" i="154" s="1"/>
  <c r="AD51" i="154" s="1"/>
  <c r="AG51" i="154" s="1"/>
  <c r="AJ51" i="154" s="1"/>
  <c r="AM51" i="154" s="1"/>
  <c r="AP51" i="154" s="1"/>
  <c r="AS51" i="154" s="1"/>
  <c r="AV51" i="154" s="1"/>
  <c r="AY51" i="154" s="1"/>
  <c r="BB51" i="154" s="1"/>
  <c r="BE51" i="154" s="1"/>
  <c r="BH51" i="154" s="1"/>
  <c r="BK51" i="154" s="1"/>
  <c r="BN51" i="154" s="1"/>
  <c r="BQ51" i="154" s="1"/>
  <c r="BT51" i="154" s="1"/>
  <c r="BW51" i="154" s="1"/>
  <c r="BZ51" i="154" s="1"/>
  <c r="CC51" i="154" s="1"/>
  <c r="CF51" i="154" s="1"/>
  <c r="CI51" i="154" s="1"/>
  <c r="CL51" i="154" s="1"/>
  <c r="CO51" i="154" s="1"/>
  <c r="CR51" i="154" s="1"/>
  <c r="CU51" i="154" s="1"/>
  <c r="CW50" i="154"/>
  <c r="CV50" i="154"/>
  <c r="I50" i="154"/>
  <c r="L50" i="154" s="1"/>
  <c r="O50" i="154" s="1"/>
  <c r="R50" i="154" s="1"/>
  <c r="U50" i="154" s="1"/>
  <c r="X50" i="154" s="1"/>
  <c r="AA50" i="154" s="1"/>
  <c r="AD50" i="154" s="1"/>
  <c r="AG50" i="154" s="1"/>
  <c r="AJ50" i="154" s="1"/>
  <c r="AM50" i="154" s="1"/>
  <c r="AP50" i="154" s="1"/>
  <c r="AS50" i="154" s="1"/>
  <c r="AV50" i="154" s="1"/>
  <c r="AY50" i="154" s="1"/>
  <c r="BB50" i="154" s="1"/>
  <c r="BE50" i="154" s="1"/>
  <c r="BH50" i="154" s="1"/>
  <c r="BK50" i="154" s="1"/>
  <c r="BN50" i="154" s="1"/>
  <c r="BQ50" i="154" s="1"/>
  <c r="BT50" i="154" s="1"/>
  <c r="BW50" i="154" s="1"/>
  <c r="BZ50" i="154" s="1"/>
  <c r="CC50" i="154" s="1"/>
  <c r="CF50" i="154" s="1"/>
  <c r="CI50" i="154" s="1"/>
  <c r="CL50" i="154" s="1"/>
  <c r="CO50" i="154" s="1"/>
  <c r="CR50" i="154" s="1"/>
  <c r="CU50" i="154" s="1"/>
  <c r="CW49" i="154"/>
  <c r="CV49" i="154"/>
  <c r="I49" i="154"/>
  <c r="L49" i="154" s="1"/>
  <c r="O49" i="154" s="1"/>
  <c r="R49" i="154" s="1"/>
  <c r="U49" i="154" s="1"/>
  <c r="X49" i="154" s="1"/>
  <c r="AA49" i="154" s="1"/>
  <c r="AD49" i="154" s="1"/>
  <c r="AG49" i="154" s="1"/>
  <c r="AJ49" i="154" s="1"/>
  <c r="AM49" i="154" s="1"/>
  <c r="AP49" i="154" s="1"/>
  <c r="AS49" i="154" s="1"/>
  <c r="AV49" i="154" s="1"/>
  <c r="AY49" i="154" s="1"/>
  <c r="BB49" i="154" s="1"/>
  <c r="BE49" i="154" s="1"/>
  <c r="BH49" i="154" s="1"/>
  <c r="BK49" i="154" s="1"/>
  <c r="BN49" i="154" s="1"/>
  <c r="BQ49" i="154" s="1"/>
  <c r="BT49" i="154" s="1"/>
  <c r="BW49" i="154" s="1"/>
  <c r="BZ49" i="154" s="1"/>
  <c r="CC49" i="154" s="1"/>
  <c r="CF49" i="154" s="1"/>
  <c r="CI49" i="154" s="1"/>
  <c r="CL49" i="154" s="1"/>
  <c r="CO49" i="154" s="1"/>
  <c r="CR49" i="154" s="1"/>
  <c r="CU49" i="154" s="1"/>
  <c r="CV48" i="154"/>
  <c r="CV47" i="154"/>
  <c r="I47" i="154"/>
  <c r="L47" i="154" s="1"/>
  <c r="O47" i="154" s="1"/>
  <c r="R47" i="154" s="1"/>
  <c r="U47" i="154" s="1"/>
  <c r="X47" i="154" s="1"/>
  <c r="AA47" i="154" s="1"/>
  <c r="AD47" i="154" s="1"/>
  <c r="AG47" i="154" s="1"/>
  <c r="AJ47" i="154" s="1"/>
  <c r="AM47" i="154" s="1"/>
  <c r="AP47" i="154" s="1"/>
  <c r="AS47" i="154" s="1"/>
  <c r="AV47" i="154" s="1"/>
  <c r="AY47" i="154" s="1"/>
  <c r="BB47" i="154" s="1"/>
  <c r="BE47" i="154" s="1"/>
  <c r="BH47" i="154" s="1"/>
  <c r="BK47" i="154" s="1"/>
  <c r="BN47" i="154" s="1"/>
  <c r="BQ47" i="154" s="1"/>
  <c r="BT47" i="154" s="1"/>
  <c r="BW47" i="154" s="1"/>
  <c r="BZ47" i="154" s="1"/>
  <c r="CC47" i="154" s="1"/>
  <c r="CF47" i="154" s="1"/>
  <c r="CI47" i="154" s="1"/>
  <c r="CL47" i="154" s="1"/>
  <c r="CO47" i="154" s="1"/>
  <c r="CR47" i="154" s="1"/>
  <c r="CU47" i="154" s="1"/>
  <c r="CW46" i="154"/>
  <c r="CV46" i="154"/>
  <c r="I46" i="154"/>
  <c r="L46" i="154" s="1"/>
  <c r="O46" i="154" s="1"/>
  <c r="R46" i="154" s="1"/>
  <c r="U46" i="154" s="1"/>
  <c r="X46" i="154" s="1"/>
  <c r="AA46" i="154" s="1"/>
  <c r="AD46" i="154" s="1"/>
  <c r="AG46" i="154" s="1"/>
  <c r="AJ46" i="154" s="1"/>
  <c r="AM46" i="154" s="1"/>
  <c r="AP46" i="154" s="1"/>
  <c r="AS46" i="154" s="1"/>
  <c r="AV46" i="154" s="1"/>
  <c r="AY46" i="154" s="1"/>
  <c r="BB46" i="154" s="1"/>
  <c r="BE46" i="154" s="1"/>
  <c r="BH46" i="154" s="1"/>
  <c r="BK46" i="154" s="1"/>
  <c r="BN46" i="154" s="1"/>
  <c r="BQ46" i="154" s="1"/>
  <c r="BT46" i="154" s="1"/>
  <c r="BW46" i="154" s="1"/>
  <c r="BZ46" i="154" s="1"/>
  <c r="CC46" i="154" s="1"/>
  <c r="CF46" i="154" s="1"/>
  <c r="CI46" i="154" s="1"/>
  <c r="CL46" i="154" s="1"/>
  <c r="CO46" i="154" s="1"/>
  <c r="CR46" i="154" s="1"/>
  <c r="CU46" i="154" s="1"/>
  <c r="CV45" i="154"/>
  <c r="CW45" i="154"/>
  <c r="I45" i="154"/>
  <c r="L45" i="154" s="1"/>
  <c r="O45" i="154" s="1"/>
  <c r="R45" i="154" s="1"/>
  <c r="U45" i="154" s="1"/>
  <c r="X45" i="154" s="1"/>
  <c r="AA45" i="154" s="1"/>
  <c r="AD45" i="154" s="1"/>
  <c r="AG45" i="154" s="1"/>
  <c r="AJ45" i="154" s="1"/>
  <c r="AM45" i="154" s="1"/>
  <c r="AP45" i="154" s="1"/>
  <c r="AS45" i="154" s="1"/>
  <c r="AV45" i="154" s="1"/>
  <c r="AY45" i="154" s="1"/>
  <c r="BB45" i="154" s="1"/>
  <c r="BE45" i="154" s="1"/>
  <c r="BH45" i="154" s="1"/>
  <c r="BK45" i="154" s="1"/>
  <c r="BN45" i="154" s="1"/>
  <c r="BQ45" i="154" s="1"/>
  <c r="BT45" i="154" s="1"/>
  <c r="BW45" i="154" s="1"/>
  <c r="BZ45" i="154" s="1"/>
  <c r="CC45" i="154" s="1"/>
  <c r="CF45" i="154" s="1"/>
  <c r="CI45" i="154" s="1"/>
  <c r="CL45" i="154" s="1"/>
  <c r="CO45" i="154" s="1"/>
  <c r="CR45" i="154" s="1"/>
  <c r="CU45" i="154" s="1"/>
  <c r="CW44" i="154"/>
  <c r="CV44" i="154"/>
  <c r="I44" i="154"/>
  <c r="L44" i="154" s="1"/>
  <c r="O44" i="154" s="1"/>
  <c r="R44" i="154" s="1"/>
  <c r="U44" i="154" s="1"/>
  <c r="X44" i="154" s="1"/>
  <c r="AA44" i="154" s="1"/>
  <c r="AD44" i="154" s="1"/>
  <c r="AG44" i="154" s="1"/>
  <c r="AJ44" i="154" s="1"/>
  <c r="AM44" i="154" s="1"/>
  <c r="AP44" i="154" s="1"/>
  <c r="AS44" i="154" s="1"/>
  <c r="AV44" i="154" s="1"/>
  <c r="AY44" i="154" s="1"/>
  <c r="BB44" i="154" s="1"/>
  <c r="BE44" i="154" s="1"/>
  <c r="BH44" i="154" s="1"/>
  <c r="BK44" i="154" s="1"/>
  <c r="BN44" i="154" s="1"/>
  <c r="BQ44" i="154" s="1"/>
  <c r="BT44" i="154" s="1"/>
  <c r="BW44" i="154" s="1"/>
  <c r="BZ44" i="154" s="1"/>
  <c r="CC44" i="154" s="1"/>
  <c r="CF44" i="154" s="1"/>
  <c r="CI44" i="154" s="1"/>
  <c r="CL44" i="154" s="1"/>
  <c r="CO44" i="154" s="1"/>
  <c r="CR44" i="154" s="1"/>
  <c r="CU44" i="154" s="1"/>
  <c r="CW43" i="154"/>
  <c r="I43" i="154"/>
  <c r="L43" i="154" s="1"/>
  <c r="O43" i="154" s="1"/>
  <c r="CW42" i="154"/>
  <c r="CV42" i="154"/>
  <c r="I42" i="154"/>
  <c r="L42" i="154" s="1"/>
  <c r="O42" i="154" s="1"/>
  <c r="R42" i="154" s="1"/>
  <c r="U42" i="154" s="1"/>
  <c r="X42" i="154" s="1"/>
  <c r="AA42" i="154" s="1"/>
  <c r="AD42" i="154" s="1"/>
  <c r="AG42" i="154" s="1"/>
  <c r="AJ42" i="154" s="1"/>
  <c r="AM42" i="154" s="1"/>
  <c r="AP42" i="154" s="1"/>
  <c r="AS42" i="154" s="1"/>
  <c r="AV42" i="154" s="1"/>
  <c r="AY42" i="154" s="1"/>
  <c r="BB42" i="154" s="1"/>
  <c r="BE42" i="154" s="1"/>
  <c r="BH42" i="154" s="1"/>
  <c r="BK42" i="154" s="1"/>
  <c r="BN42" i="154" s="1"/>
  <c r="BQ42" i="154" s="1"/>
  <c r="BT42" i="154" s="1"/>
  <c r="BW42" i="154" s="1"/>
  <c r="BZ42" i="154" s="1"/>
  <c r="CC42" i="154" s="1"/>
  <c r="CF42" i="154" s="1"/>
  <c r="CI42" i="154" s="1"/>
  <c r="CL42" i="154" s="1"/>
  <c r="CO42" i="154" s="1"/>
  <c r="CR42" i="154" s="1"/>
  <c r="CU42" i="154" s="1"/>
  <c r="CW41" i="154"/>
  <c r="CV41" i="154"/>
  <c r="I41" i="154"/>
  <c r="L41" i="154" s="1"/>
  <c r="O41" i="154" s="1"/>
  <c r="R41" i="154" s="1"/>
  <c r="U41" i="154" s="1"/>
  <c r="X41" i="154" s="1"/>
  <c r="AA41" i="154" s="1"/>
  <c r="AD41" i="154" s="1"/>
  <c r="AG41" i="154" s="1"/>
  <c r="AJ41" i="154" s="1"/>
  <c r="AM41" i="154" s="1"/>
  <c r="AP41" i="154" s="1"/>
  <c r="AS41" i="154" s="1"/>
  <c r="AV41" i="154" s="1"/>
  <c r="AY41" i="154" s="1"/>
  <c r="BB41" i="154" s="1"/>
  <c r="BE41" i="154" s="1"/>
  <c r="BH41" i="154" s="1"/>
  <c r="BK41" i="154" s="1"/>
  <c r="BN41" i="154" s="1"/>
  <c r="BQ41" i="154" s="1"/>
  <c r="BT41" i="154" s="1"/>
  <c r="BW41" i="154" s="1"/>
  <c r="BZ41" i="154" s="1"/>
  <c r="CC41" i="154" s="1"/>
  <c r="CF41" i="154" s="1"/>
  <c r="CI41" i="154" s="1"/>
  <c r="CL41" i="154" s="1"/>
  <c r="CO41" i="154" s="1"/>
  <c r="CR41" i="154" s="1"/>
  <c r="CU41" i="154" s="1"/>
  <c r="CV40" i="154"/>
  <c r="CV39" i="154"/>
  <c r="CW38" i="154"/>
  <c r="CV38" i="154"/>
  <c r="I38" i="154"/>
  <c r="L38" i="154" s="1"/>
  <c r="O38" i="154" s="1"/>
  <c r="R38" i="154" s="1"/>
  <c r="U38" i="154" s="1"/>
  <c r="X38" i="154" s="1"/>
  <c r="AA38" i="154" s="1"/>
  <c r="AD38" i="154" s="1"/>
  <c r="AG38" i="154" s="1"/>
  <c r="AJ38" i="154" s="1"/>
  <c r="AM38" i="154" s="1"/>
  <c r="AP38" i="154" s="1"/>
  <c r="AS38" i="154" s="1"/>
  <c r="AV38" i="154" s="1"/>
  <c r="AY38" i="154" s="1"/>
  <c r="BB38" i="154" s="1"/>
  <c r="BE38" i="154" s="1"/>
  <c r="BH38" i="154" s="1"/>
  <c r="BK38" i="154" s="1"/>
  <c r="BN38" i="154" s="1"/>
  <c r="BQ38" i="154" s="1"/>
  <c r="BT38" i="154" s="1"/>
  <c r="BW38" i="154" s="1"/>
  <c r="BZ38" i="154" s="1"/>
  <c r="CC38" i="154" s="1"/>
  <c r="CF38" i="154" s="1"/>
  <c r="CI38" i="154" s="1"/>
  <c r="CL38" i="154" s="1"/>
  <c r="CO38" i="154" s="1"/>
  <c r="CR38" i="154" s="1"/>
  <c r="CU38" i="154" s="1"/>
  <c r="CW37" i="154"/>
  <c r="CV37" i="154"/>
  <c r="I37" i="154"/>
  <c r="L37" i="154" s="1"/>
  <c r="O37" i="154" s="1"/>
  <c r="R37" i="154" s="1"/>
  <c r="U37" i="154" s="1"/>
  <c r="X37" i="154" s="1"/>
  <c r="AA37" i="154" s="1"/>
  <c r="AD37" i="154" s="1"/>
  <c r="AG37" i="154" s="1"/>
  <c r="AJ37" i="154" s="1"/>
  <c r="AM37" i="154" s="1"/>
  <c r="AP37" i="154" s="1"/>
  <c r="AS37" i="154" s="1"/>
  <c r="AV37" i="154" s="1"/>
  <c r="AY37" i="154" s="1"/>
  <c r="BB37" i="154" s="1"/>
  <c r="BE37" i="154" s="1"/>
  <c r="BH37" i="154" s="1"/>
  <c r="BK37" i="154" s="1"/>
  <c r="BN37" i="154" s="1"/>
  <c r="BQ37" i="154" s="1"/>
  <c r="BT37" i="154" s="1"/>
  <c r="BW37" i="154" s="1"/>
  <c r="BZ37" i="154" s="1"/>
  <c r="CC37" i="154" s="1"/>
  <c r="CF37" i="154" s="1"/>
  <c r="CI37" i="154" s="1"/>
  <c r="CL37" i="154" s="1"/>
  <c r="CO37" i="154" s="1"/>
  <c r="CR37" i="154" s="1"/>
  <c r="CU37" i="154" s="1"/>
  <c r="CW35" i="154"/>
  <c r="CV35" i="154"/>
  <c r="I35" i="154"/>
  <c r="L35" i="154" s="1"/>
  <c r="O35" i="154" s="1"/>
  <c r="R35" i="154" s="1"/>
  <c r="U35" i="154" s="1"/>
  <c r="X35" i="154" s="1"/>
  <c r="AA35" i="154" s="1"/>
  <c r="AD35" i="154" s="1"/>
  <c r="AG35" i="154" s="1"/>
  <c r="AJ35" i="154" s="1"/>
  <c r="AM35" i="154" s="1"/>
  <c r="AP35" i="154" s="1"/>
  <c r="AS35" i="154" s="1"/>
  <c r="AV35" i="154" s="1"/>
  <c r="AY35" i="154" s="1"/>
  <c r="BB35" i="154" s="1"/>
  <c r="BE35" i="154" s="1"/>
  <c r="BH35" i="154" s="1"/>
  <c r="BK35" i="154" s="1"/>
  <c r="BN35" i="154" s="1"/>
  <c r="BQ35" i="154" s="1"/>
  <c r="BT35" i="154" s="1"/>
  <c r="BW35" i="154" s="1"/>
  <c r="BZ35" i="154" s="1"/>
  <c r="CC35" i="154" s="1"/>
  <c r="CF35" i="154" s="1"/>
  <c r="CI35" i="154" s="1"/>
  <c r="CL35" i="154" s="1"/>
  <c r="CO35" i="154" s="1"/>
  <c r="CR35" i="154" s="1"/>
  <c r="CU35" i="154" s="1"/>
  <c r="CW34" i="154"/>
  <c r="CV34" i="154"/>
  <c r="I34" i="154"/>
  <c r="L34" i="154" s="1"/>
  <c r="O34" i="154" s="1"/>
  <c r="R34" i="154" s="1"/>
  <c r="U34" i="154" s="1"/>
  <c r="X34" i="154" s="1"/>
  <c r="AA34" i="154" s="1"/>
  <c r="AD34" i="154" s="1"/>
  <c r="AG34" i="154" s="1"/>
  <c r="AJ34" i="154" s="1"/>
  <c r="AM34" i="154" s="1"/>
  <c r="AP34" i="154" s="1"/>
  <c r="AS34" i="154" s="1"/>
  <c r="AV34" i="154" s="1"/>
  <c r="AY34" i="154" s="1"/>
  <c r="BB34" i="154" s="1"/>
  <c r="BE34" i="154" s="1"/>
  <c r="BH34" i="154" s="1"/>
  <c r="BK34" i="154" s="1"/>
  <c r="BN34" i="154" s="1"/>
  <c r="BQ34" i="154" s="1"/>
  <c r="BT34" i="154" s="1"/>
  <c r="BW34" i="154" s="1"/>
  <c r="BZ34" i="154" s="1"/>
  <c r="CC34" i="154" s="1"/>
  <c r="CF34" i="154" s="1"/>
  <c r="CI34" i="154" s="1"/>
  <c r="CL34" i="154" s="1"/>
  <c r="CO34" i="154" s="1"/>
  <c r="CR34" i="154" s="1"/>
  <c r="CU34" i="154" s="1"/>
  <c r="CW33" i="154"/>
  <c r="CV33" i="154"/>
  <c r="I33" i="154"/>
  <c r="L33" i="154" s="1"/>
  <c r="O33" i="154" s="1"/>
  <c r="R33" i="154" s="1"/>
  <c r="U33" i="154" s="1"/>
  <c r="X33" i="154" s="1"/>
  <c r="AA33" i="154" s="1"/>
  <c r="AD33" i="154" s="1"/>
  <c r="AG33" i="154" s="1"/>
  <c r="AJ33" i="154" s="1"/>
  <c r="AM33" i="154" s="1"/>
  <c r="AP33" i="154" s="1"/>
  <c r="AS33" i="154" s="1"/>
  <c r="AV33" i="154" s="1"/>
  <c r="AY33" i="154" s="1"/>
  <c r="BB33" i="154" s="1"/>
  <c r="BE33" i="154" s="1"/>
  <c r="BH33" i="154" s="1"/>
  <c r="BK33" i="154" s="1"/>
  <c r="BN33" i="154" s="1"/>
  <c r="BQ33" i="154" s="1"/>
  <c r="BT33" i="154" s="1"/>
  <c r="BW33" i="154" s="1"/>
  <c r="BZ33" i="154" s="1"/>
  <c r="CC33" i="154" s="1"/>
  <c r="CF33" i="154" s="1"/>
  <c r="CI33" i="154" s="1"/>
  <c r="CL33" i="154" s="1"/>
  <c r="CO33" i="154" s="1"/>
  <c r="CR33" i="154" s="1"/>
  <c r="CU33" i="154" s="1"/>
  <c r="CW31" i="154"/>
  <c r="CV31" i="154"/>
  <c r="I31" i="154"/>
  <c r="L31" i="154" s="1"/>
  <c r="O31" i="154" s="1"/>
  <c r="R31" i="154" s="1"/>
  <c r="U31" i="154" s="1"/>
  <c r="X31" i="154" s="1"/>
  <c r="AA31" i="154" s="1"/>
  <c r="AD31" i="154" s="1"/>
  <c r="AG31" i="154" s="1"/>
  <c r="AJ31" i="154" s="1"/>
  <c r="AM31" i="154" s="1"/>
  <c r="AP31" i="154" s="1"/>
  <c r="AS31" i="154" s="1"/>
  <c r="AV31" i="154" s="1"/>
  <c r="AY31" i="154" s="1"/>
  <c r="BB31" i="154" s="1"/>
  <c r="BE31" i="154" s="1"/>
  <c r="BH31" i="154" s="1"/>
  <c r="BK31" i="154" s="1"/>
  <c r="BN31" i="154" s="1"/>
  <c r="BQ31" i="154" s="1"/>
  <c r="BT31" i="154" s="1"/>
  <c r="BW31" i="154" s="1"/>
  <c r="BZ31" i="154" s="1"/>
  <c r="CC31" i="154" s="1"/>
  <c r="CF31" i="154" s="1"/>
  <c r="CI31" i="154" s="1"/>
  <c r="CL31" i="154" s="1"/>
  <c r="CO31" i="154" s="1"/>
  <c r="CR31" i="154" s="1"/>
  <c r="CU31" i="154" s="1"/>
  <c r="CW30" i="154"/>
  <c r="CV30" i="154"/>
  <c r="I30" i="154"/>
  <c r="L30" i="154" s="1"/>
  <c r="O30" i="154" s="1"/>
  <c r="R30" i="154" s="1"/>
  <c r="U30" i="154" s="1"/>
  <c r="X30" i="154" s="1"/>
  <c r="AA30" i="154" s="1"/>
  <c r="AD30" i="154" s="1"/>
  <c r="AG30" i="154" s="1"/>
  <c r="AJ30" i="154" s="1"/>
  <c r="AM30" i="154" s="1"/>
  <c r="AP30" i="154" s="1"/>
  <c r="AS30" i="154" s="1"/>
  <c r="AV30" i="154" s="1"/>
  <c r="AY30" i="154" s="1"/>
  <c r="BB30" i="154" s="1"/>
  <c r="BE30" i="154" s="1"/>
  <c r="BH30" i="154" s="1"/>
  <c r="BK30" i="154" s="1"/>
  <c r="BN30" i="154" s="1"/>
  <c r="BQ30" i="154" s="1"/>
  <c r="BT30" i="154" s="1"/>
  <c r="BW30" i="154" s="1"/>
  <c r="BZ30" i="154" s="1"/>
  <c r="CC30" i="154" s="1"/>
  <c r="CF30" i="154" s="1"/>
  <c r="CI30" i="154" s="1"/>
  <c r="CL30" i="154" s="1"/>
  <c r="CO30" i="154" s="1"/>
  <c r="CR30" i="154" s="1"/>
  <c r="CU30" i="154" s="1"/>
  <c r="CW29" i="154"/>
  <c r="CV28" i="154"/>
  <c r="CW28" i="154"/>
  <c r="I28" i="154"/>
  <c r="L28" i="154" s="1"/>
  <c r="O28" i="154" s="1"/>
  <c r="R28" i="154" s="1"/>
  <c r="U28" i="154" s="1"/>
  <c r="X28" i="154" s="1"/>
  <c r="AA28" i="154" s="1"/>
  <c r="AD28" i="154" s="1"/>
  <c r="AG28" i="154" s="1"/>
  <c r="AJ28" i="154" s="1"/>
  <c r="AM28" i="154" s="1"/>
  <c r="AP28" i="154" s="1"/>
  <c r="AS28" i="154" s="1"/>
  <c r="AV28" i="154" s="1"/>
  <c r="AY28" i="154" s="1"/>
  <c r="BB28" i="154" s="1"/>
  <c r="BE28" i="154" s="1"/>
  <c r="BH28" i="154" s="1"/>
  <c r="BK28" i="154" s="1"/>
  <c r="BN28" i="154" s="1"/>
  <c r="BQ28" i="154" s="1"/>
  <c r="BT28" i="154" s="1"/>
  <c r="BW28" i="154" s="1"/>
  <c r="BZ28" i="154" s="1"/>
  <c r="CC28" i="154" s="1"/>
  <c r="CF28" i="154" s="1"/>
  <c r="CI28" i="154" s="1"/>
  <c r="CL28" i="154" s="1"/>
  <c r="CO28" i="154" s="1"/>
  <c r="CR28" i="154" s="1"/>
  <c r="CU28" i="154" s="1"/>
  <c r="CV27" i="154"/>
  <c r="CW26" i="154"/>
  <c r="CV24" i="154"/>
  <c r="CW24" i="154"/>
  <c r="I24" i="154"/>
  <c r="CV23" i="154"/>
  <c r="I23" i="154"/>
  <c r="CV22" i="154"/>
  <c r="CW21" i="154"/>
  <c r="CV21" i="154"/>
  <c r="I21" i="154"/>
  <c r="L21" i="154" s="1"/>
  <c r="O21" i="154" s="1"/>
  <c r="R21" i="154" s="1"/>
  <c r="U21" i="154" s="1"/>
  <c r="X21" i="154" s="1"/>
  <c r="AA21" i="154" s="1"/>
  <c r="AD21" i="154" s="1"/>
  <c r="AG21" i="154" s="1"/>
  <c r="AJ21" i="154" s="1"/>
  <c r="AM21" i="154" s="1"/>
  <c r="AP21" i="154" s="1"/>
  <c r="AS21" i="154" s="1"/>
  <c r="AV21" i="154" s="1"/>
  <c r="AY21" i="154" s="1"/>
  <c r="BB21" i="154" s="1"/>
  <c r="BE21" i="154" s="1"/>
  <c r="BH21" i="154" s="1"/>
  <c r="BK21" i="154" s="1"/>
  <c r="BN21" i="154" s="1"/>
  <c r="BQ21" i="154" s="1"/>
  <c r="BT21" i="154" s="1"/>
  <c r="BW21" i="154" s="1"/>
  <c r="BZ21" i="154" s="1"/>
  <c r="CC21" i="154" s="1"/>
  <c r="CF21" i="154" s="1"/>
  <c r="CI21" i="154" s="1"/>
  <c r="CL21" i="154" s="1"/>
  <c r="CO21" i="154" s="1"/>
  <c r="CR21" i="154" s="1"/>
  <c r="CU21" i="154" s="1"/>
  <c r="CW20" i="154"/>
  <c r="CV20" i="154"/>
  <c r="I20" i="154"/>
  <c r="L20" i="154" s="1"/>
  <c r="O20" i="154" s="1"/>
  <c r="R20" i="154" s="1"/>
  <c r="U20" i="154" s="1"/>
  <c r="X20" i="154" s="1"/>
  <c r="AA20" i="154" s="1"/>
  <c r="AD20" i="154" s="1"/>
  <c r="AG20" i="154" s="1"/>
  <c r="AJ20" i="154" s="1"/>
  <c r="AM20" i="154" s="1"/>
  <c r="AP20" i="154" s="1"/>
  <c r="AS20" i="154" s="1"/>
  <c r="AV20" i="154" s="1"/>
  <c r="AY20" i="154" s="1"/>
  <c r="BB20" i="154" s="1"/>
  <c r="BE20" i="154" s="1"/>
  <c r="BH20" i="154" s="1"/>
  <c r="BK20" i="154" s="1"/>
  <c r="BN20" i="154" s="1"/>
  <c r="BQ20" i="154" s="1"/>
  <c r="BT20" i="154" s="1"/>
  <c r="BW20" i="154" s="1"/>
  <c r="BZ20" i="154" s="1"/>
  <c r="CC20" i="154" s="1"/>
  <c r="CF20" i="154" s="1"/>
  <c r="CI20" i="154" s="1"/>
  <c r="CL20" i="154" s="1"/>
  <c r="CO20" i="154" s="1"/>
  <c r="CR20" i="154" s="1"/>
  <c r="CU20" i="154" s="1"/>
  <c r="CV19" i="154"/>
  <c r="CW19" i="154"/>
  <c r="I19" i="154"/>
  <c r="L19" i="154" s="1"/>
  <c r="O19" i="154" s="1"/>
  <c r="R19" i="154" s="1"/>
  <c r="U19" i="154" s="1"/>
  <c r="X19" i="154" s="1"/>
  <c r="AA19" i="154" s="1"/>
  <c r="AD19" i="154" s="1"/>
  <c r="AG19" i="154" s="1"/>
  <c r="AJ19" i="154" s="1"/>
  <c r="AM19" i="154" s="1"/>
  <c r="AP19" i="154" s="1"/>
  <c r="AS19" i="154" s="1"/>
  <c r="AV19" i="154" s="1"/>
  <c r="AY19" i="154" s="1"/>
  <c r="BB19" i="154" s="1"/>
  <c r="BE19" i="154" s="1"/>
  <c r="BH19" i="154" s="1"/>
  <c r="BK19" i="154" s="1"/>
  <c r="BN19" i="154" s="1"/>
  <c r="BQ19" i="154" s="1"/>
  <c r="BT19" i="154" s="1"/>
  <c r="BW19" i="154" s="1"/>
  <c r="BZ19" i="154" s="1"/>
  <c r="CC19" i="154" s="1"/>
  <c r="CF19" i="154" s="1"/>
  <c r="CI19" i="154" s="1"/>
  <c r="CL19" i="154" s="1"/>
  <c r="CO19" i="154" s="1"/>
  <c r="CR19" i="154" s="1"/>
  <c r="CU19" i="154" s="1"/>
  <c r="CV18" i="154"/>
  <c r="CW18" i="154"/>
  <c r="I18" i="154"/>
  <c r="L18" i="154" s="1"/>
  <c r="O18" i="154" s="1"/>
  <c r="R18" i="154" s="1"/>
  <c r="U18" i="154" s="1"/>
  <c r="X18" i="154" s="1"/>
  <c r="AA18" i="154" s="1"/>
  <c r="AD18" i="154" s="1"/>
  <c r="AG18" i="154" s="1"/>
  <c r="AJ18" i="154" s="1"/>
  <c r="AM18" i="154" s="1"/>
  <c r="AP18" i="154" s="1"/>
  <c r="AS18" i="154" s="1"/>
  <c r="AV18" i="154" s="1"/>
  <c r="AY18" i="154" s="1"/>
  <c r="BB18" i="154" s="1"/>
  <c r="BE18" i="154" s="1"/>
  <c r="BH18" i="154" s="1"/>
  <c r="BK18" i="154" s="1"/>
  <c r="BN18" i="154" s="1"/>
  <c r="BQ18" i="154" s="1"/>
  <c r="BT18" i="154" s="1"/>
  <c r="BW18" i="154" s="1"/>
  <c r="BZ18" i="154" s="1"/>
  <c r="CC18" i="154" s="1"/>
  <c r="CF18" i="154" s="1"/>
  <c r="CI18" i="154" s="1"/>
  <c r="CL18" i="154" s="1"/>
  <c r="CO18" i="154" s="1"/>
  <c r="CR18" i="154" s="1"/>
  <c r="CU18" i="154" s="1"/>
  <c r="CV13" i="154"/>
  <c r="CW11" i="154"/>
  <c r="CV11" i="154"/>
  <c r="I11" i="154"/>
  <c r="L11" i="154" s="1"/>
  <c r="O11" i="154" s="1"/>
  <c r="R11" i="154" s="1"/>
  <c r="U11" i="154" s="1"/>
  <c r="X11" i="154" s="1"/>
  <c r="AA11" i="154" s="1"/>
  <c r="AD11" i="154" s="1"/>
  <c r="AG11" i="154" s="1"/>
  <c r="AJ11" i="154" s="1"/>
  <c r="AM11" i="154" s="1"/>
  <c r="AP11" i="154" s="1"/>
  <c r="AS11" i="154" s="1"/>
  <c r="AV11" i="154" s="1"/>
  <c r="AY11" i="154" s="1"/>
  <c r="BB11" i="154" s="1"/>
  <c r="BE11" i="154" s="1"/>
  <c r="BH11" i="154" s="1"/>
  <c r="BK11" i="154" s="1"/>
  <c r="BN11" i="154" s="1"/>
  <c r="BQ11" i="154" s="1"/>
  <c r="BT11" i="154" s="1"/>
  <c r="BW11" i="154" s="1"/>
  <c r="BZ11" i="154" s="1"/>
  <c r="CC11" i="154" s="1"/>
  <c r="CF11" i="154" s="1"/>
  <c r="CI11" i="154" s="1"/>
  <c r="CL11" i="154" s="1"/>
  <c r="CO11" i="154" s="1"/>
  <c r="CR11" i="154" s="1"/>
  <c r="CU11" i="154" s="1"/>
  <c r="CW10" i="154"/>
  <c r="CV10" i="154"/>
  <c r="I10" i="154"/>
  <c r="L10" i="154" s="1"/>
  <c r="O10" i="154" s="1"/>
  <c r="R10" i="154" s="1"/>
  <c r="U10" i="154" s="1"/>
  <c r="X10" i="154" s="1"/>
  <c r="AA10" i="154" s="1"/>
  <c r="AD10" i="154" s="1"/>
  <c r="AG10" i="154" s="1"/>
  <c r="AJ10" i="154" s="1"/>
  <c r="AM10" i="154" s="1"/>
  <c r="AP10" i="154" s="1"/>
  <c r="AS10" i="154" s="1"/>
  <c r="AV10" i="154" s="1"/>
  <c r="AY10" i="154" s="1"/>
  <c r="BB10" i="154" s="1"/>
  <c r="BE10" i="154" s="1"/>
  <c r="BH10" i="154" s="1"/>
  <c r="BK10" i="154" s="1"/>
  <c r="BN10" i="154" s="1"/>
  <c r="BQ10" i="154" s="1"/>
  <c r="BT10" i="154" s="1"/>
  <c r="BW10" i="154" s="1"/>
  <c r="BZ10" i="154" s="1"/>
  <c r="CC10" i="154" s="1"/>
  <c r="CF10" i="154" s="1"/>
  <c r="CI10" i="154" s="1"/>
  <c r="CL10" i="154" s="1"/>
  <c r="CO10" i="154" s="1"/>
  <c r="CR10" i="154" s="1"/>
  <c r="CU10" i="154" s="1"/>
  <c r="CW9" i="154"/>
  <c r="CV9" i="154"/>
  <c r="I9" i="154"/>
  <c r="L9" i="154" s="1"/>
  <c r="O9" i="154" s="1"/>
  <c r="R9" i="154" s="1"/>
  <c r="U9" i="154" s="1"/>
  <c r="X9" i="154" s="1"/>
  <c r="AA9" i="154" s="1"/>
  <c r="AD9" i="154" s="1"/>
  <c r="AG9" i="154" s="1"/>
  <c r="AJ9" i="154" s="1"/>
  <c r="AM9" i="154" s="1"/>
  <c r="AP9" i="154" s="1"/>
  <c r="AS9" i="154" s="1"/>
  <c r="AV9" i="154" s="1"/>
  <c r="AY9" i="154" s="1"/>
  <c r="BB9" i="154" s="1"/>
  <c r="BE9" i="154" s="1"/>
  <c r="BH9" i="154" s="1"/>
  <c r="BK9" i="154" s="1"/>
  <c r="BN9" i="154" s="1"/>
  <c r="BQ9" i="154" s="1"/>
  <c r="BT9" i="154" s="1"/>
  <c r="BW9" i="154" s="1"/>
  <c r="BZ9" i="154" s="1"/>
  <c r="CC9" i="154" s="1"/>
  <c r="CF9" i="154" s="1"/>
  <c r="CI9" i="154" s="1"/>
  <c r="CL9" i="154" s="1"/>
  <c r="CO9" i="154" s="1"/>
  <c r="CR9" i="154" s="1"/>
  <c r="CU9" i="154" s="1"/>
  <c r="CW8" i="154"/>
  <c r="CV8" i="154"/>
  <c r="I8" i="154"/>
  <c r="L8" i="154" s="1"/>
  <c r="O8" i="154" s="1"/>
  <c r="R8" i="154" s="1"/>
  <c r="U8" i="154" s="1"/>
  <c r="X8" i="154" s="1"/>
  <c r="AA8" i="154" s="1"/>
  <c r="AD8" i="154" s="1"/>
  <c r="AG8" i="154" s="1"/>
  <c r="AJ8" i="154" s="1"/>
  <c r="AM8" i="154" s="1"/>
  <c r="AP8" i="154" s="1"/>
  <c r="AS8" i="154" s="1"/>
  <c r="AV8" i="154" s="1"/>
  <c r="AY8" i="154" s="1"/>
  <c r="BB8" i="154" s="1"/>
  <c r="BE8" i="154" s="1"/>
  <c r="BH8" i="154" s="1"/>
  <c r="BK8" i="154" s="1"/>
  <c r="BN8" i="154" s="1"/>
  <c r="BQ8" i="154" s="1"/>
  <c r="BT8" i="154" s="1"/>
  <c r="BW8" i="154" s="1"/>
  <c r="BZ8" i="154" s="1"/>
  <c r="CC8" i="154" s="1"/>
  <c r="CF8" i="154" s="1"/>
  <c r="CI8" i="154" s="1"/>
  <c r="CL8" i="154" s="1"/>
  <c r="CO8" i="154" s="1"/>
  <c r="CR8" i="154" s="1"/>
  <c r="CU8" i="154" s="1"/>
  <c r="CW7" i="154"/>
  <c r="CV7" i="154"/>
  <c r="I7" i="154"/>
  <c r="L7" i="154" s="1"/>
  <c r="O7" i="154" s="1"/>
  <c r="R7" i="154" s="1"/>
  <c r="U7" i="154" s="1"/>
  <c r="X7" i="154" s="1"/>
  <c r="AA7" i="154" s="1"/>
  <c r="AD7" i="154" s="1"/>
  <c r="AG7" i="154" s="1"/>
  <c r="AJ7" i="154" s="1"/>
  <c r="AM7" i="154" s="1"/>
  <c r="AP7" i="154" s="1"/>
  <c r="AS7" i="154" s="1"/>
  <c r="AV7" i="154" s="1"/>
  <c r="AY7" i="154" s="1"/>
  <c r="BB7" i="154" s="1"/>
  <c r="BE7" i="154" s="1"/>
  <c r="BH7" i="154" s="1"/>
  <c r="BK7" i="154" s="1"/>
  <c r="BN7" i="154" s="1"/>
  <c r="BQ7" i="154" s="1"/>
  <c r="BT7" i="154" s="1"/>
  <c r="BW7" i="154" s="1"/>
  <c r="BZ7" i="154" s="1"/>
  <c r="CC7" i="154" s="1"/>
  <c r="CF7" i="154" s="1"/>
  <c r="CI7" i="154" s="1"/>
  <c r="CL7" i="154" s="1"/>
  <c r="CO7" i="154" s="1"/>
  <c r="CR7" i="154" s="1"/>
  <c r="CU7" i="154" s="1"/>
  <c r="CV6" i="154"/>
  <c r="CW5" i="154"/>
  <c r="CV5" i="154"/>
  <c r="I5" i="154"/>
  <c r="L5" i="154" s="1"/>
  <c r="O5" i="154" s="1"/>
  <c r="R5" i="154" s="1"/>
  <c r="U5" i="154" s="1"/>
  <c r="X5" i="154" s="1"/>
  <c r="AA5" i="154" s="1"/>
  <c r="AD5" i="154" s="1"/>
  <c r="AG5" i="154" s="1"/>
  <c r="AJ5" i="154" s="1"/>
  <c r="AM5" i="154" s="1"/>
  <c r="AP5" i="154" s="1"/>
  <c r="AS5" i="154" s="1"/>
  <c r="AV5" i="154" s="1"/>
  <c r="AY5" i="154" s="1"/>
  <c r="BB5" i="154" s="1"/>
  <c r="BE5" i="154" s="1"/>
  <c r="BH5" i="154" s="1"/>
  <c r="BK5" i="154" s="1"/>
  <c r="BN5" i="154" s="1"/>
  <c r="BQ5" i="154" s="1"/>
  <c r="BT5" i="154" s="1"/>
  <c r="BW5" i="154" s="1"/>
  <c r="BZ5" i="154" s="1"/>
  <c r="CC5" i="154" s="1"/>
  <c r="CF5" i="154" s="1"/>
  <c r="CI5" i="154" s="1"/>
  <c r="CL5" i="154" s="1"/>
  <c r="CO5" i="154" s="1"/>
  <c r="CR5" i="154" s="1"/>
  <c r="CU5" i="154" s="1"/>
  <c r="CJ29" i="153"/>
  <c r="CG63" i="153"/>
  <c r="CK63" i="153"/>
  <c r="CJ63" i="153"/>
  <c r="CK17" i="153"/>
  <c r="CJ17" i="153"/>
  <c r="CJ75" i="153"/>
  <c r="CK75" i="153"/>
  <c r="CJ60" i="153"/>
  <c r="CJ36" i="153"/>
  <c r="CJ12" i="153"/>
  <c r="I14" i="154" l="1"/>
  <c r="L14" i="154" s="1"/>
  <c r="O14" i="154" s="1"/>
  <c r="R14" i="154" s="1"/>
  <c r="U14" i="154" s="1"/>
  <c r="X14" i="154" s="1"/>
  <c r="AA14" i="154" s="1"/>
  <c r="AD14" i="154" s="1"/>
  <c r="AG14" i="154" s="1"/>
  <c r="AJ14" i="154" s="1"/>
  <c r="AM14" i="154" s="1"/>
  <c r="AP14" i="154" s="1"/>
  <c r="AS14" i="154" s="1"/>
  <c r="AV14" i="154" s="1"/>
  <c r="AY14" i="154" s="1"/>
  <c r="BB14" i="154" s="1"/>
  <c r="BE14" i="154" s="1"/>
  <c r="BH14" i="154" s="1"/>
  <c r="BK14" i="154" s="1"/>
  <c r="BN14" i="154" s="1"/>
  <c r="BQ14" i="154" s="1"/>
  <c r="BT14" i="154" s="1"/>
  <c r="BW14" i="154" s="1"/>
  <c r="BZ14" i="154" s="1"/>
  <c r="CC14" i="154" s="1"/>
  <c r="CF14" i="154" s="1"/>
  <c r="CI14" i="154" s="1"/>
  <c r="CL14" i="154" s="1"/>
  <c r="CO14" i="154" s="1"/>
  <c r="CR14" i="154" s="1"/>
  <c r="CU14" i="154" s="1"/>
  <c r="CX14" i="154" s="1"/>
  <c r="CZ14" i="154" s="1"/>
  <c r="L60" i="154"/>
  <c r="O60" i="154" s="1"/>
  <c r="CW53" i="154"/>
  <c r="I29" i="154"/>
  <c r="I63" i="154"/>
  <c r="L63" i="154" s="1"/>
  <c r="O63" i="154" s="1"/>
  <c r="R63" i="154" s="1"/>
  <c r="U63" i="154" s="1"/>
  <c r="X63" i="154" s="1"/>
  <c r="AA63" i="154" s="1"/>
  <c r="AD63" i="154" s="1"/>
  <c r="AG63" i="154" s="1"/>
  <c r="AJ63" i="154" s="1"/>
  <c r="AM63" i="154" s="1"/>
  <c r="AP63" i="154" s="1"/>
  <c r="AS63" i="154" s="1"/>
  <c r="AV63" i="154" s="1"/>
  <c r="AY63" i="154" s="1"/>
  <c r="BB63" i="154" s="1"/>
  <c r="BE63" i="154" s="1"/>
  <c r="BH63" i="154" s="1"/>
  <c r="BK63" i="154" s="1"/>
  <c r="BN63" i="154" s="1"/>
  <c r="BQ63" i="154" s="1"/>
  <c r="BT63" i="154" s="1"/>
  <c r="BW63" i="154" s="1"/>
  <c r="BZ63" i="154" s="1"/>
  <c r="CC63" i="154" s="1"/>
  <c r="CF63" i="154" s="1"/>
  <c r="CI63" i="154" s="1"/>
  <c r="CL63" i="154" s="1"/>
  <c r="CO63" i="154" s="1"/>
  <c r="CR63" i="154" s="1"/>
  <c r="CU63" i="154" s="1"/>
  <c r="CX63" i="154" s="1"/>
  <c r="CZ63" i="154" s="1"/>
  <c r="CW25" i="154"/>
  <c r="CW23" i="154"/>
  <c r="L25" i="154"/>
  <c r="O25" i="154" s="1"/>
  <c r="R25" i="154" s="1"/>
  <c r="U25" i="154" s="1"/>
  <c r="X25" i="154" s="1"/>
  <c r="AA25" i="154" s="1"/>
  <c r="AD25" i="154" s="1"/>
  <c r="AG25" i="154" s="1"/>
  <c r="AJ25" i="154" s="1"/>
  <c r="AM25" i="154" s="1"/>
  <c r="AP25" i="154" s="1"/>
  <c r="AS25" i="154" s="1"/>
  <c r="AV25" i="154" s="1"/>
  <c r="AY25" i="154" s="1"/>
  <c r="BB25" i="154" s="1"/>
  <c r="BE25" i="154" s="1"/>
  <c r="BH25" i="154" s="1"/>
  <c r="BK25" i="154" s="1"/>
  <c r="BN25" i="154" s="1"/>
  <c r="BQ25" i="154" s="1"/>
  <c r="BT25" i="154" s="1"/>
  <c r="BW25" i="154" s="1"/>
  <c r="BZ25" i="154" s="1"/>
  <c r="CC25" i="154" s="1"/>
  <c r="CF25" i="154" s="1"/>
  <c r="CI25" i="154" s="1"/>
  <c r="CL25" i="154" s="1"/>
  <c r="CO25" i="154" s="1"/>
  <c r="CR25" i="154" s="1"/>
  <c r="CU25" i="154" s="1"/>
  <c r="CX25" i="154" s="1"/>
  <c r="CZ25" i="154" s="1"/>
  <c r="I36" i="154"/>
  <c r="L36" i="154" s="1"/>
  <c r="O36" i="154" s="1"/>
  <c r="R36" i="154" s="1"/>
  <c r="U36" i="154" s="1"/>
  <c r="X36" i="154" s="1"/>
  <c r="AA36" i="154" s="1"/>
  <c r="AD36" i="154" s="1"/>
  <c r="AG36" i="154" s="1"/>
  <c r="AJ36" i="154" s="1"/>
  <c r="AM36" i="154" s="1"/>
  <c r="AP36" i="154" s="1"/>
  <c r="AS36" i="154" s="1"/>
  <c r="AV36" i="154" s="1"/>
  <c r="AY36" i="154" s="1"/>
  <c r="BB36" i="154" s="1"/>
  <c r="BE36" i="154" s="1"/>
  <c r="BH36" i="154" s="1"/>
  <c r="BK36" i="154" s="1"/>
  <c r="BN36" i="154" s="1"/>
  <c r="BQ36" i="154" s="1"/>
  <c r="BT36" i="154" s="1"/>
  <c r="BW36" i="154" s="1"/>
  <c r="BZ36" i="154" s="1"/>
  <c r="CC36" i="154" s="1"/>
  <c r="CF36" i="154" s="1"/>
  <c r="CI36" i="154" s="1"/>
  <c r="CL36" i="154" s="1"/>
  <c r="CO36" i="154" s="1"/>
  <c r="CR36" i="154" s="1"/>
  <c r="CU36" i="154" s="1"/>
  <c r="CX36" i="154" s="1"/>
  <c r="CZ36" i="154" s="1"/>
  <c r="CW6" i="154"/>
  <c r="I12" i="154"/>
  <c r="L12" i="154" s="1"/>
  <c r="O12" i="154" s="1"/>
  <c r="R12" i="154" s="1"/>
  <c r="U12" i="154" s="1"/>
  <c r="X12" i="154" s="1"/>
  <c r="AA12" i="154" s="1"/>
  <c r="AD12" i="154" s="1"/>
  <c r="AG12" i="154" s="1"/>
  <c r="AJ12" i="154" s="1"/>
  <c r="AM12" i="154" s="1"/>
  <c r="AP12" i="154" s="1"/>
  <c r="AS12" i="154" s="1"/>
  <c r="AV12" i="154" s="1"/>
  <c r="AY12" i="154" s="1"/>
  <c r="BB12" i="154" s="1"/>
  <c r="BE12" i="154" s="1"/>
  <c r="BH12" i="154" s="1"/>
  <c r="BK12" i="154" s="1"/>
  <c r="BN12" i="154" s="1"/>
  <c r="BQ12" i="154" s="1"/>
  <c r="BT12" i="154" s="1"/>
  <c r="BW12" i="154" s="1"/>
  <c r="BZ12" i="154" s="1"/>
  <c r="CC12" i="154" s="1"/>
  <c r="CF12" i="154" s="1"/>
  <c r="CI12" i="154" s="1"/>
  <c r="CL12" i="154" s="1"/>
  <c r="CO12" i="154" s="1"/>
  <c r="CR12" i="154" s="1"/>
  <c r="CU12" i="154" s="1"/>
  <c r="DB12" i="154" s="1"/>
  <c r="DE12" i="154" s="1"/>
  <c r="I75" i="154"/>
  <c r="L75" i="154" s="1"/>
  <c r="O75" i="154" s="1"/>
  <c r="R75" i="154" s="1"/>
  <c r="U75" i="154" s="1"/>
  <c r="X75" i="154" s="1"/>
  <c r="AA75" i="154" s="1"/>
  <c r="AD75" i="154" s="1"/>
  <c r="AG75" i="154" s="1"/>
  <c r="AJ75" i="154" s="1"/>
  <c r="AM75" i="154" s="1"/>
  <c r="AP75" i="154" s="1"/>
  <c r="AS75" i="154" s="1"/>
  <c r="AV75" i="154" s="1"/>
  <c r="AY75" i="154" s="1"/>
  <c r="BB75" i="154" s="1"/>
  <c r="BE75" i="154" s="1"/>
  <c r="BH75" i="154" s="1"/>
  <c r="BK75" i="154" s="1"/>
  <c r="BN75" i="154" s="1"/>
  <c r="BQ75" i="154" s="1"/>
  <c r="BT75" i="154" s="1"/>
  <c r="BW75" i="154" s="1"/>
  <c r="BZ75" i="154" s="1"/>
  <c r="CC75" i="154" s="1"/>
  <c r="CF75" i="154" s="1"/>
  <c r="CI75" i="154" s="1"/>
  <c r="CL75" i="154" s="1"/>
  <c r="CO75" i="154" s="1"/>
  <c r="CR75" i="154" s="1"/>
  <c r="CU75" i="154" s="1"/>
  <c r="L27" i="154"/>
  <c r="O27" i="154" s="1"/>
  <c r="R27" i="154" s="1"/>
  <c r="U27" i="154" s="1"/>
  <c r="X27" i="154" s="1"/>
  <c r="AA27" i="154" s="1"/>
  <c r="AD27" i="154" s="1"/>
  <c r="AG27" i="154" s="1"/>
  <c r="AJ27" i="154" s="1"/>
  <c r="AM27" i="154" s="1"/>
  <c r="AP27" i="154" s="1"/>
  <c r="AS27" i="154" s="1"/>
  <c r="AV27" i="154" s="1"/>
  <c r="AY27" i="154" s="1"/>
  <c r="BB27" i="154" s="1"/>
  <c r="BE27" i="154" s="1"/>
  <c r="BH27" i="154" s="1"/>
  <c r="BK27" i="154" s="1"/>
  <c r="BN27" i="154" s="1"/>
  <c r="BQ27" i="154" s="1"/>
  <c r="BT27" i="154" s="1"/>
  <c r="BW27" i="154" s="1"/>
  <c r="BZ27" i="154" s="1"/>
  <c r="CC27" i="154" s="1"/>
  <c r="CF27" i="154" s="1"/>
  <c r="CI27" i="154" s="1"/>
  <c r="CL27" i="154" s="1"/>
  <c r="CO27" i="154" s="1"/>
  <c r="CR27" i="154" s="1"/>
  <c r="CU27" i="154" s="1"/>
  <c r="CV25" i="154"/>
  <c r="CW22" i="154"/>
  <c r="L39" i="154"/>
  <c r="O39" i="154" s="1"/>
  <c r="R39" i="154" s="1"/>
  <c r="U39" i="154" s="1"/>
  <c r="X39" i="154" s="1"/>
  <c r="AA39" i="154" s="1"/>
  <c r="AD39" i="154" s="1"/>
  <c r="AG39" i="154" s="1"/>
  <c r="AJ39" i="154" s="1"/>
  <c r="AM39" i="154" s="1"/>
  <c r="AP39" i="154" s="1"/>
  <c r="AS39" i="154" s="1"/>
  <c r="AV39" i="154" s="1"/>
  <c r="AY39" i="154" s="1"/>
  <c r="BB39" i="154" s="1"/>
  <c r="BE39" i="154" s="1"/>
  <c r="BH39" i="154" s="1"/>
  <c r="BK39" i="154" s="1"/>
  <c r="BN39" i="154" s="1"/>
  <c r="BQ39" i="154" s="1"/>
  <c r="BT39" i="154" s="1"/>
  <c r="BW39" i="154" s="1"/>
  <c r="BZ39" i="154" s="1"/>
  <c r="CC39" i="154" s="1"/>
  <c r="CF39" i="154" s="1"/>
  <c r="CI39" i="154" s="1"/>
  <c r="CL39" i="154" s="1"/>
  <c r="CO39" i="154" s="1"/>
  <c r="CR39" i="154" s="1"/>
  <c r="CU39" i="154" s="1"/>
  <c r="CX39" i="154" s="1"/>
  <c r="CZ39" i="154" s="1"/>
  <c r="CW14" i="154"/>
  <c r="I22" i="154"/>
  <c r="L22" i="154" s="1"/>
  <c r="O22" i="154" s="1"/>
  <c r="R22" i="154" s="1"/>
  <c r="U22" i="154" s="1"/>
  <c r="X22" i="154" s="1"/>
  <c r="AA22" i="154" s="1"/>
  <c r="AD22" i="154" s="1"/>
  <c r="AG22" i="154" s="1"/>
  <c r="AJ22" i="154" s="1"/>
  <c r="AM22" i="154" s="1"/>
  <c r="AP22" i="154" s="1"/>
  <c r="AS22" i="154" s="1"/>
  <c r="AV22" i="154" s="1"/>
  <c r="AY22" i="154" s="1"/>
  <c r="BB22" i="154" s="1"/>
  <c r="BE22" i="154" s="1"/>
  <c r="BH22" i="154" s="1"/>
  <c r="BK22" i="154" s="1"/>
  <c r="BN22" i="154" s="1"/>
  <c r="BQ22" i="154" s="1"/>
  <c r="BT22" i="154" s="1"/>
  <c r="BW22" i="154" s="1"/>
  <c r="BZ22" i="154" s="1"/>
  <c r="CC22" i="154" s="1"/>
  <c r="CF22" i="154" s="1"/>
  <c r="CI22" i="154" s="1"/>
  <c r="CL22" i="154" s="1"/>
  <c r="CO22" i="154" s="1"/>
  <c r="CR22" i="154" s="1"/>
  <c r="CU22" i="154" s="1"/>
  <c r="L77" i="154"/>
  <c r="O77" i="154" s="1"/>
  <c r="R77" i="154" s="1"/>
  <c r="U77" i="154" s="1"/>
  <c r="X77" i="154" s="1"/>
  <c r="AA77" i="154" s="1"/>
  <c r="AD77" i="154" s="1"/>
  <c r="AG77" i="154" s="1"/>
  <c r="AJ77" i="154" s="1"/>
  <c r="AM77" i="154" s="1"/>
  <c r="AP77" i="154" s="1"/>
  <c r="AS77" i="154" s="1"/>
  <c r="AV77" i="154" s="1"/>
  <c r="AY77" i="154" s="1"/>
  <c r="BB77" i="154" s="1"/>
  <c r="BE77" i="154" s="1"/>
  <c r="BH77" i="154" s="1"/>
  <c r="BK77" i="154" s="1"/>
  <c r="BN77" i="154" s="1"/>
  <c r="BQ77" i="154" s="1"/>
  <c r="BT77" i="154" s="1"/>
  <c r="BW77" i="154" s="1"/>
  <c r="BZ77" i="154" s="1"/>
  <c r="CC77" i="154" s="1"/>
  <c r="CF77" i="154" s="1"/>
  <c r="CI77" i="154" s="1"/>
  <c r="CL77" i="154" s="1"/>
  <c r="CO77" i="154" s="1"/>
  <c r="CR77" i="154" s="1"/>
  <c r="CU77" i="154" s="1"/>
  <c r="CW15" i="154"/>
  <c r="CW13" i="154"/>
  <c r="I59" i="154"/>
  <c r="L59" i="154" s="1"/>
  <c r="O59" i="154" s="1"/>
  <c r="R59" i="154" s="1"/>
  <c r="U59" i="154" s="1"/>
  <c r="X59" i="154" s="1"/>
  <c r="AA59" i="154" s="1"/>
  <c r="AD59" i="154" s="1"/>
  <c r="AG59" i="154" s="1"/>
  <c r="AJ59" i="154" s="1"/>
  <c r="AM59" i="154" s="1"/>
  <c r="AP59" i="154" s="1"/>
  <c r="AS59" i="154" s="1"/>
  <c r="AV59" i="154" s="1"/>
  <c r="AY59" i="154" s="1"/>
  <c r="BB59" i="154" s="1"/>
  <c r="BE59" i="154" s="1"/>
  <c r="BH59" i="154" s="1"/>
  <c r="BK59" i="154" s="1"/>
  <c r="BN59" i="154" s="1"/>
  <c r="BQ59" i="154" s="1"/>
  <c r="BT59" i="154" s="1"/>
  <c r="BW59" i="154" s="1"/>
  <c r="BZ59" i="154" s="1"/>
  <c r="CC59" i="154" s="1"/>
  <c r="CF59" i="154" s="1"/>
  <c r="CI59" i="154" s="1"/>
  <c r="CL59" i="154" s="1"/>
  <c r="CO59" i="154" s="1"/>
  <c r="CR59" i="154" s="1"/>
  <c r="CU59" i="154" s="1"/>
  <c r="CV43" i="154"/>
  <c r="I32" i="154"/>
  <c r="L32" i="154" s="1"/>
  <c r="O32" i="154" s="1"/>
  <c r="R32" i="154" s="1"/>
  <c r="U32" i="154" s="1"/>
  <c r="X32" i="154" s="1"/>
  <c r="AA32" i="154" s="1"/>
  <c r="AD32" i="154" s="1"/>
  <c r="AG32" i="154" s="1"/>
  <c r="AJ32" i="154" s="1"/>
  <c r="AM32" i="154" s="1"/>
  <c r="AP32" i="154" s="1"/>
  <c r="AS32" i="154" s="1"/>
  <c r="AV32" i="154" s="1"/>
  <c r="AY32" i="154" s="1"/>
  <c r="BB32" i="154" s="1"/>
  <c r="BE32" i="154" s="1"/>
  <c r="BH32" i="154" s="1"/>
  <c r="BK32" i="154" s="1"/>
  <c r="BN32" i="154" s="1"/>
  <c r="BQ32" i="154" s="1"/>
  <c r="BT32" i="154" s="1"/>
  <c r="BW32" i="154" s="1"/>
  <c r="BZ32" i="154" s="1"/>
  <c r="CC32" i="154" s="1"/>
  <c r="CF32" i="154" s="1"/>
  <c r="CI32" i="154" s="1"/>
  <c r="CL32" i="154" s="1"/>
  <c r="CO32" i="154" s="1"/>
  <c r="CR32" i="154" s="1"/>
  <c r="CU32" i="154" s="1"/>
  <c r="I16" i="154"/>
  <c r="L16" i="154" s="1"/>
  <c r="O16" i="154" s="1"/>
  <c r="R16" i="154" s="1"/>
  <c r="U16" i="154" s="1"/>
  <c r="X16" i="154" s="1"/>
  <c r="AA16" i="154" s="1"/>
  <c r="AD16" i="154" s="1"/>
  <c r="AG16" i="154" s="1"/>
  <c r="AJ16" i="154" s="1"/>
  <c r="AM16" i="154" s="1"/>
  <c r="AP16" i="154" s="1"/>
  <c r="AS16" i="154" s="1"/>
  <c r="AV16" i="154" s="1"/>
  <c r="AY16" i="154" s="1"/>
  <c r="BB16" i="154" s="1"/>
  <c r="BE16" i="154" s="1"/>
  <c r="BH16" i="154" s="1"/>
  <c r="BK16" i="154" s="1"/>
  <c r="BN16" i="154" s="1"/>
  <c r="BQ16" i="154" s="1"/>
  <c r="BT16" i="154" s="1"/>
  <c r="BW16" i="154" s="1"/>
  <c r="BZ16" i="154" s="1"/>
  <c r="CC16" i="154" s="1"/>
  <c r="CF16" i="154" s="1"/>
  <c r="CI16" i="154" s="1"/>
  <c r="CL16" i="154" s="1"/>
  <c r="CO16" i="154" s="1"/>
  <c r="CR16" i="154" s="1"/>
  <c r="CU16" i="154" s="1"/>
  <c r="DB16" i="154" s="1"/>
  <c r="DE16" i="154" s="1"/>
  <c r="I53" i="154"/>
  <c r="L53" i="154" s="1"/>
  <c r="O53" i="154" s="1"/>
  <c r="R53" i="154" s="1"/>
  <c r="U53" i="154" s="1"/>
  <c r="X53" i="154" s="1"/>
  <c r="AA53" i="154" s="1"/>
  <c r="AD53" i="154" s="1"/>
  <c r="AG53" i="154" s="1"/>
  <c r="AJ53" i="154" s="1"/>
  <c r="AM53" i="154" s="1"/>
  <c r="AP53" i="154" s="1"/>
  <c r="AS53" i="154" s="1"/>
  <c r="AV53" i="154" s="1"/>
  <c r="AY53" i="154" s="1"/>
  <c r="BB53" i="154" s="1"/>
  <c r="BE53" i="154" s="1"/>
  <c r="BH53" i="154" s="1"/>
  <c r="BK53" i="154" s="1"/>
  <c r="BN53" i="154" s="1"/>
  <c r="BQ53" i="154" s="1"/>
  <c r="BT53" i="154" s="1"/>
  <c r="BW53" i="154" s="1"/>
  <c r="BZ53" i="154" s="1"/>
  <c r="CC53" i="154" s="1"/>
  <c r="CF53" i="154" s="1"/>
  <c r="CI53" i="154" s="1"/>
  <c r="CL53" i="154" s="1"/>
  <c r="CO53" i="154" s="1"/>
  <c r="CR53" i="154" s="1"/>
  <c r="CU53" i="154" s="1"/>
  <c r="CX53" i="154" s="1"/>
  <c r="CZ53" i="154" s="1"/>
  <c r="I15" i="154"/>
  <c r="L15" i="154" s="1"/>
  <c r="O15" i="154" s="1"/>
  <c r="R15" i="154" s="1"/>
  <c r="U15" i="154" s="1"/>
  <c r="X15" i="154" s="1"/>
  <c r="AA15" i="154" s="1"/>
  <c r="AD15" i="154" s="1"/>
  <c r="AG15" i="154" s="1"/>
  <c r="AJ15" i="154" s="1"/>
  <c r="AM15" i="154" s="1"/>
  <c r="AP15" i="154" s="1"/>
  <c r="AS15" i="154" s="1"/>
  <c r="AV15" i="154" s="1"/>
  <c r="AY15" i="154" s="1"/>
  <c r="BB15" i="154" s="1"/>
  <c r="BE15" i="154" s="1"/>
  <c r="BH15" i="154" s="1"/>
  <c r="BK15" i="154" s="1"/>
  <c r="BN15" i="154" s="1"/>
  <c r="BQ15" i="154" s="1"/>
  <c r="BT15" i="154" s="1"/>
  <c r="BW15" i="154" s="1"/>
  <c r="BZ15" i="154" s="1"/>
  <c r="CC15" i="154" s="1"/>
  <c r="CF15" i="154" s="1"/>
  <c r="CI15" i="154" s="1"/>
  <c r="CL15" i="154" s="1"/>
  <c r="CO15" i="154" s="1"/>
  <c r="CR15" i="154" s="1"/>
  <c r="CU15" i="154" s="1"/>
  <c r="DB15" i="154" s="1"/>
  <c r="DE15" i="154" s="1"/>
  <c r="I6" i="154"/>
  <c r="L6" i="154" s="1"/>
  <c r="O6" i="154" s="1"/>
  <c r="R6" i="154" s="1"/>
  <c r="U6" i="154" s="1"/>
  <c r="X6" i="154" s="1"/>
  <c r="AA6" i="154" s="1"/>
  <c r="AD6" i="154" s="1"/>
  <c r="AG6" i="154" s="1"/>
  <c r="AJ6" i="154" s="1"/>
  <c r="AM6" i="154" s="1"/>
  <c r="AP6" i="154" s="1"/>
  <c r="AS6" i="154" s="1"/>
  <c r="AV6" i="154" s="1"/>
  <c r="AY6" i="154" s="1"/>
  <c r="BB6" i="154" s="1"/>
  <c r="BE6" i="154" s="1"/>
  <c r="BH6" i="154" s="1"/>
  <c r="BK6" i="154" s="1"/>
  <c r="BN6" i="154" s="1"/>
  <c r="BQ6" i="154" s="1"/>
  <c r="BT6" i="154" s="1"/>
  <c r="BW6" i="154" s="1"/>
  <c r="BZ6" i="154" s="1"/>
  <c r="CC6" i="154" s="1"/>
  <c r="CF6" i="154" s="1"/>
  <c r="CI6" i="154" s="1"/>
  <c r="CL6" i="154" s="1"/>
  <c r="CO6" i="154" s="1"/>
  <c r="CR6" i="154" s="1"/>
  <c r="CU6" i="154" s="1"/>
  <c r="CX6" i="154" s="1"/>
  <c r="CZ6" i="154" s="1"/>
  <c r="R43" i="154"/>
  <c r="U43" i="154" s="1"/>
  <c r="X43" i="154" s="1"/>
  <c r="AA43" i="154" s="1"/>
  <c r="AD43" i="154" s="1"/>
  <c r="AG43" i="154" s="1"/>
  <c r="AJ43" i="154" s="1"/>
  <c r="AM43" i="154" s="1"/>
  <c r="AP43" i="154" s="1"/>
  <c r="AS43" i="154" s="1"/>
  <c r="AV43" i="154" s="1"/>
  <c r="AY43" i="154" s="1"/>
  <c r="BB43" i="154" s="1"/>
  <c r="BE43" i="154" s="1"/>
  <c r="BH43" i="154" s="1"/>
  <c r="BK43" i="154" s="1"/>
  <c r="BN43" i="154" s="1"/>
  <c r="BQ43" i="154" s="1"/>
  <c r="BT43" i="154" s="1"/>
  <c r="BW43" i="154" s="1"/>
  <c r="BZ43" i="154" s="1"/>
  <c r="CC43" i="154" s="1"/>
  <c r="CF43" i="154" s="1"/>
  <c r="CI43" i="154" s="1"/>
  <c r="CL43" i="154" s="1"/>
  <c r="CO43" i="154" s="1"/>
  <c r="CR43" i="154" s="1"/>
  <c r="CU43" i="154" s="1"/>
  <c r="DB43" i="154" s="1"/>
  <c r="DE43" i="154" s="1"/>
  <c r="I13" i="154"/>
  <c r="L13" i="154" s="1"/>
  <c r="O13" i="154" s="1"/>
  <c r="R13" i="154" s="1"/>
  <c r="U13" i="154" s="1"/>
  <c r="X13" i="154" s="1"/>
  <c r="AA13" i="154" s="1"/>
  <c r="AD13" i="154" s="1"/>
  <c r="AG13" i="154" s="1"/>
  <c r="AJ13" i="154" s="1"/>
  <c r="AM13" i="154" s="1"/>
  <c r="AP13" i="154" s="1"/>
  <c r="AS13" i="154" s="1"/>
  <c r="AV13" i="154" s="1"/>
  <c r="AY13" i="154" s="1"/>
  <c r="BB13" i="154" s="1"/>
  <c r="BE13" i="154" s="1"/>
  <c r="BH13" i="154" s="1"/>
  <c r="BK13" i="154" s="1"/>
  <c r="BN13" i="154" s="1"/>
  <c r="BQ13" i="154" s="1"/>
  <c r="BT13" i="154" s="1"/>
  <c r="BW13" i="154" s="1"/>
  <c r="BZ13" i="154" s="1"/>
  <c r="CC13" i="154" s="1"/>
  <c r="CF13" i="154" s="1"/>
  <c r="CI13" i="154" s="1"/>
  <c r="CL13" i="154" s="1"/>
  <c r="CO13" i="154" s="1"/>
  <c r="CR13" i="154" s="1"/>
  <c r="CU13" i="154" s="1"/>
  <c r="CX13" i="154" s="1"/>
  <c r="CZ13" i="154" s="1"/>
  <c r="DB79" i="154"/>
  <c r="DE79" i="154" s="1"/>
  <c r="CX79" i="154"/>
  <c r="CZ79" i="154" s="1"/>
  <c r="CX88" i="154"/>
  <c r="CZ88" i="154" s="1"/>
  <c r="DB88" i="154"/>
  <c r="DE88" i="154" s="1"/>
  <c r="DB64" i="154"/>
  <c r="DE64" i="154" s="1"/>
  <c r="CX64" i="154"/>
  <c r="CZ64" i="154" s="1"/>
  <c r="DB18" i="154"/>
  <c r="DE18" i="154" s="1"/>
  <c r="CX18" i="154"/>
  <c r="CZ18" i="154" s="1"/>
  <c r="CX67" i="154"/>
  <c r="CZ67" i="154" s="1"/>
  <c r="DB67" i="154"/>
  <c r="DE67" i="154" s="1"/>
  <c r="DB73" i="154"/>
  <c r="DE73" i="154" s="1"/>
  <c r="CX73" i="154"/>
  <c r="CZ73" i="154" s="1"/>
  <c r="DB20" i="154"/>
  <c r="DE20" i="154" s="1"/>
  <c r="CX20" i="154"/>
  <c r="CZ20" i="154" s="1"/>
  <c r="DB10" i="154"/>
  <c r="DE10" i="154" s="1"/>
  <c r="CX10" i="154"/>
  <c r="CZ10" i="154" s="1"/>
  <c r="CX55" i="154"/>
  <c r="CZ55" i="154" s="1"/>
  <c r="DB55" i="154"/>
  <c r="DE55" i="154" s="1"/>
  <c r="CX8" i="154"/>
  <c r="CZ8" i="154" s="1"/>
  <c r="DB8" i="154"/>
  <c r="DE8" i="154" s="1"/>
  <c r="CX70" i="154"/>
  <c r="CZ70" i="154" s="1"/>
  <c r="DB70" i="154"/>
  <c r="DE70" i="154" s="1"/>
  <c r="DB76" i="154"/>
  <c r="DE76" i="154" s="1"/>
  <c r="CX76" i="154"/>
  <c r="CZ76" i="154" s="1"/>
  <c r="CX28" i="154"/>
  <c r="CZ28" i="154" s="1"/>
  <c r="DB28" i="154"/>
  <c r="DE28" i="154" s="1"/>
  <c r="DB11" i="154"/>
  <c r="DE11" i="154" s="1"/>
  <c r="CX11" i="154"/>
  <c r="CZ11" i="154" s="1"/>
  <c r="DB84" i="154"/>
  <c r="DE84" i="154" s="1"/>
  <c r="CX84" i="154"/>
  <c r="CZ84" i="154" s="1"/>
  <c r="DB52" i="154"/>
  <c r="DE52" i="154" s="1"/>
  <c r="CX52" i="154"/>
  <c r="CZ52" i="154" s="1"/>
  <c r="DB34" i="154"/>
  <c r="DE34" i="154" s="1"/>
  <c r="CX34" i="154"/>
  <c r="CZ34" i="154" s="1"/>
  <c r="DB56" i="154"/>
  <c r="DE56" i="154" s="1"/>
  <c r="CX56" i="154"/>
  <c r="CZ56" i="154" s="1"/>
  <c r="DB68" i="154"/>
  <c r="DE68" i="154" s="1"/>
  <c r="CX68" i="154"/>
  <c r="CZ68" i="154" s="1"/>
  <c r="CX38" i="154"/>
  <c r="CZ38" i="154" s="1"/>
  <c r="DB38" i="154"/>
  <c r="DE38" i="154" s="1"/>
  <c r="DB5" i="154"/>
  <c r="DE5" i="154" s="1"/>
  <c r="CX5" i="154"/>
  <c r="CZ5" i="154" s="1"/>
  <c r="CX71" i="154"/>
  <c r="CZ71" i="154" s="1"/>
  <c r="DB71" i="154"/>
  <c r="DE71" i="154" s="1"/>
  <c r="DB81" i="154"/>
  <c r="DE81" i="154" s="1"/>
  <c r="CX81" i="154"/>
  <c r="CZ81" i="154" s="1"/>
  <c r="DB49" i="154"/>
  <c r="DE49" i="154" s="1"/>
  <c r="CX49" i="154"/>
  <c r="CZ49" i="154" s="1"/>
  <c r="DB7" i="154"/>
  <c r="DE7" i="154" s="1"/>
  <c r="CX7" i="154"/>
  <c r="CZ7" i="154" s="1"/>
  <c r="CX26" i="154"/>
  <c r="CZ26" i="154" s="1"/>
  <c r="DB26" i="154"/>
  <c r="DE26" i="154" s="1"/>
  <c r="DB46" i="154"/>
  <c r="DE46" i="154" s="1"/>
  <c r="CX46" i="154"/>
  <c r="CZ46" i="154" s="1"/>
  <c r="DB61" i="154"/>
  <c r="DE61" i="154" s="1"/>
  <c r="CX61" i="154"/>
  <c r="CZ61" i="154" s="1"/>
  <c r="CX41" i="154"/>
  <c r="CZ41" i="154" s="1"/>
  <c r="DB41" i="154"/>
  <c r="DE41" i="154" s="1"/>
  <c r="CX74" i="154"/>
  <c r="CZ74" i="154" s="1"/>
  <c r="DB74" i="154"/>
  <c r="DE74" i="154" s="1"/>
  <c r="DB44" i="154"/>
  <c r="DE44" i="154" s="1"/>
  <c r="CX44" i="154"/>
  <c r="CZ44" i="154" s="1"/>
  <c r="CX57" i="154"/>
  <c r="CZ57" i="154" s="1"/>
  <c r="DB57" i="154"/>
  <c r="DE57" i="154" s="1"/>
  <c r="CX35" i="154"/>
  <c r="CZ35" i="154" s="1"/>
  <c r="DB35" i="154"/>
  <c r="DE35" i="154" s="1"/>
  <c r="CX30" i="154"/>
  <c r="CZ30" i="154" s="1"/>
  <c r="DB30" i="154"/>
  <c r="DE30" i="154" s="1"/>
  <c r="DB50" i="154"/>
  <c r="DE50" i="154" s="1"/>
  <c r="CX50" i="154"/>
  <c r="CZ50" i="154" s="1"/>
  <c r="DB72" i="154"/>
  <c r="DE72" i="154" s="1"/>
  <c r="CX72" i="154"/>
  <c r="CZ72" i="154" s="1"/>
  <c r="DB19" i="154"/>
  <c r="DE19" i="154" s="1"/>
  <c r="CX19" i="154"/>
  <c r="CZ19" i="154" s="1"/>
  <c r="DB42" i="154"/>
  <c r="DE42" i="154" s="1"/>
  <c r="CX42" i="154"/>
  <c r="CZ42" i="154" s="1"/>
  <c r="CX47" i="154"/>
  <c r="CZ47" i="154" s="1"/>
  <c r="DB47" i="154"/>
  <c r="DE47" i="154" s="1"/>
  <c r="DB9" i="154"/>
  <c r="DE9" i="154" s="1"/>
  <c r="CX9" i="154"/>
  <c r="CZ9" i="154" s="1"/>
  <c r="DB62" i="154"/>
  <c r="DE62" i="154" s="1"/>
  <c r="CX62" i="154"/>
  <c r="CZ62" i="154" s="1"/>
  <c r="DB37" i="154"/>
  <c r="DE37" i="154" s="1"/>
  <c r="CX37" i="154"/>
  <c r="CZ37" i="154" s="1"/>
  <c r="DB66" i="154"/>
  <c r="DE66" i="154" s="1"/>
  <c r="CX66" i="154"/>
  <c r="CZ66" i="154" s="1"/>
  <c r="DB31" i="154"/>
  <c r="DE31" i="154" s="1"/>
  <c r="CX31" i="154"/>
  <c r="CZ31" i="154" s="1"/>
  <c r="CX21" i="154"/>
  <c r="CZ21" i="154" s="1"/>
  <c r="DB21" i="154"/>
  <c r="DE21" i="154" s="1"/>
  <c r="CX33" i="154"/>
  <c r="CZ33" i="154" s="1"/>
  <c r="DB33" i="154"/>
  <c r="DE33" i="154" s="1"/>
  <c r="CX45" i="154"/>
  <c r="CZ45" i="154" s="1"/>
  <c r="DB45" i="154"/>
  <c r="DE45" i="154" s="1"/>
  <c r="CX51" i="154"/>
  <c r="CZ51" i="154" s="1"/>
  <c r="DB51" i="154"/>
  <c r="DE51" i="154" s="1"/>
  <c r="DB54" i="154"/>
  <c r="DE54" i="154" s="1"/>
  <c r="CX54" i="154"/>
  <c r="CZ54" i="154" s="1"/>
  <c r="DB87" i="154"/>
  <c r="DE87" i="154" s="1"/>
  <c r="CX87" i="154"/>
  <c r="CZ87" i="154" s="1"/>
  <c r="CW16" i="154"/>
  <c r="L24" i="154"/>
  <c r="O24" i="154" s="1"/>
  <c r="R24" i="154" s="1"/>
  <c r="U24" i="154" s="1"/>
  <c r="X24" i="154" s="1"/>
  <c r="AA24" i="154" s="1"/>
  <c r="AD24" i="154" s="1"/>
  <c r="AG24" i="154" s="1"/>
  <c r="AJ24" i="154" s="1"/>
  <c r="AM24" i="154" s="1"/>
  <c r="AP24" i="154" s="1"/>
  <c r="AS24" i="154" s="1"/>
  <c r="AV24" i="154" s="1"/>
  <c r="AY24" i="154" s="1"/>
  <c r="BB24" i="154" s="1"/>
  <c r="BE24" i="154" s="1"/>
  <c r="BH24" i="154" s="1"/>
  <c r="BK24" i="154" s="1"/>
  <c r="BN24" i="154" s="1"/>
  <c r="BQ24" i="154" s="1"/>
  <c r="BT24" i="154" s="1"/>
  <c r="BW24" i="154" s="1"/>
  <c r="BZ24" i="154" s="1"/>
  <c r="CC24" i="154" s="1"/>
  <c r="CF24" i="154" s="1"/>
  <c r="CI24" i="154" s="1"/>
  <c r="CL24" i="154" s="1"/>
  <c r="CO24" i="154" s="1"/>
  <c r="CR24" i="154" s="1"/>
  <c r="CU24" i="154" s="1"/>
  <c r="CW27" i="154"/>
  <c r="DB65" i="154"/>
  <c r="DE65" i="154" s="1"/>
  <c r="CX65" i="154"/>
  <c r="CZ65" i="154" s="1"/>
  <c r="CV36" i="154"/>
  <c r="CV29" i="154"/>
  <c r="CW59" i="154"/>
  <c r="L29" i="154"/>
  <c r="O29" i="154" s="1"/>
  <c r="R29" i="154" s="1"/>
  <c r="U29" i="154" s="1"/>
  <c r="X29" i="154" s="1"/>
  <c r="AA29" i="154" s="1"/>
  <c r="AD29" i="154" s="1"/>
  <c r="AG29" i="154" s="1"/>
  <c r="AJ29" i="154" s="1"/>
  <c r="AM29" i="154" s="1"/>
  <c r="AP29" i="154" s="1"/>
  <c r="AS29" i="154" s="1"/>
  <c r="AV29" i="154" s="1"/>
  <c r="AY29" i="154" s="1"/>
  <c r="BB29" i="154" s="1"/>
  <c r="BE29" i="154" s="1"/>
  <c r="BH29" i="154" s="1"/>
  <c r="BK29" i="154" s="1"/>
  <c r="BN29" i="154" s="1"/>
  <c r="BQ29" i="154" s="1"/>
  <c r="BT29" i="154" s="1"/>
  <c r="BW29" i="154" s="1"/>
  <c r="BZ29" i="154" s="1"/>
  <c r="CC29" i="154" s="1"/>
  <c r="CF29" i="154" s="1"/>
  <c r="CI29" i="154" s="1"/>
  <c r="CL29" i="154" s="1"/>
  <c r="CO29" i="154" s="1"/>
  <c r="CR29" i="154" s="1"/>
  <c r="CU29" i="154" s="1"/>
  <c r="L40" i="154"/>
  <c r="O40" i="154" s="1"/>
  <c r="R40" i="154" s="1"/>
  <c r="U40" i="154" s="1"/>
  <c r="X40" i="154" s="1"/>
  <c r="AA40" i="154" s="1"/>
  <c r="AD40" i="154" s="1"/>
  <c r="AG40" i="154" s="1"/>
  <c r="AJ40" i="154" s="1"/>
  <c r="AM40" i="154" s="1"/>
  <c r="AP40" i="154" s="1"/>
  <c r="AS40" i="154" s="1"/>
  <c r="AV40" i="154" s="1"/>
  <c r="AY40" i="154" s="1"/>
  <c r="BB40" i="154" s="1"/>
  <c r="BE40" i="154" s="1"/>
  <c r="BH40" i="154" s="1"/>
  <c r="BK40" i="154" s="1"/>
  <c r="BN40" i="154" s="1"/>
  <c r="BQ40" i="154" s="1"/>
  <c r="BT40" i="154" s="1"/>
  <c r="BW40" i="154" s="1"/>
  <c r="BZ40" i="154" s="1"/>
  <c r="CC40" i="154" s="1"/>
  <c r="CF40" i="154" s="1"/>
  <c r="CI40" i="154" s="1"/>
  <c r="CL40" i="154" s="1"/>
  <c r="CO40" i="154" s="1"/>
  <c r="CR40" i="154" s="1"/>
  <c r="CU40" i="154" s="1"/>
  <c r="CW40" i="154"/>
  <c r="DB91" i="154"/>
  <c r="DE91" i="154" s="1"/>
  <c r="CX91" i="154"/>
  <c r="CZ91" i="154" s="1"/>
  <c r="CV17" i="154"/>
  <c r="CW17" i="154"/>
  <c r="L17" i="154"/>
  <c r="O17" i="154" s="1"/>
  <c r="R17" i="154" s="1"/>
  <c r="U17" i="154" s="1"/>
  <c r="X17" i="154" s="1"/>
  <c r="AA17" i="154" s="1"/>
  <c r="AD17" i="154" s="1"/>
  <c r="AG17" i="154" s="1"/>
  <c r="AJ17" i="154" s="1"/>
  <c r="AM17" i="154" s="1"/>
  <c r="AP17" i="154" s="1"/>
  <c r="AS17" i="154" s="1"/>
  <c r="AV17" i="154" s="1"/>
  <c r="AY17" i="154" s="1"/>
  <c r="BB17" i="154" s="1"/>
  <c r="BE17" i="154" s="1"/>
  <c r="BH17" i="154" s="1"/>
  <c r="BK17" i="154" s="1"/>
  <c r="BN17" i="154" s="1"/>
  <c r="BQ17" i="154" s="1"/>
  <c r="BT17" i="154" s="1"/>
  <c r="BW17" i="154" s="1"/>
  <c r="BZ17" i="154" s="1"/>
  <c r="CC17" i="154" s="1"/>
  <c r="CF17" i="154" s="1"/>
  <c r="CI17" i="154" s="1"/>
  <c r="CL17" i="154" s="1"/>
  <c r="CO17" i="154" s="1"/>
  <c r="CR17" i="154" s="1"/>
  <c r="CU17" i="154" s="1"/>
  <c r="DB85" i="154"/>
  <c r="DE85" i="154" s="1"/>
  <c r="CX85" i="154"/>
  <c r="CZ85" i="154" s="1"/>
  <c r="DB92" i="154"/>
  <c r="DE92" i="154" s="1"/>
  <c r="CX92" i="154"/>
  <c r="CZ92" i="154" s="1"/>
  <c r="DB80" i="154"/>
  <c r="DE80" i="154" s="1"/>
  <c r="CX80" i="154"/>
  <c r="CZ80" i="154" s="1"/>
  <c r="DB89" i="154"/>
  <c r="DE89" i="154" s="1"/>
  <c r="CX89" i="154"/>
  <c r="CZ89" i="154" s="1"/>
  <c r="CX69" i="154"/>
  <c r="CZ69" i="154" s="1"/>
  <c r="DB90" i="154"/>
  <c r="DE90" i="154" s="1"/>
  <c r="CX90" i="154"/>
  <c r="CZ90" i="154" s="1"/>
  <c r="L23" i="154"/>
  <c r="O23" i="154" s="1"/>
  <c r="R23" i="154" s="1"/>
  <c r="U23" i="154" s="1"/>
  <c r="X23" i="154" s="1"/>
  <c r="AA23" i="154" s="1"/>
  <c r="AD23" i="154" s="1"/>
  <c r="AG23" i="154" s="1"/>
  <c r="AJ23" i="154" s="1"/>
  <c r="AM23" i="154" s="1"/>
  <c r="AP23" i="154" s="1"/>
  <c r="AS23" i="154" s="1"/>
  <c r="AV23" i="154" s="1"/>
  <c r="AY23" i="154" s="1"/>
  <c r="BB23" i="154" s="1"/>
  <c r="BE23" i="154" s="1"/>
  <c r="BH23" i="154" s="1"/>
  <c r="BK23" i="154" s="1"/>
  <c r="BN23" i="154" s="1"/>
  <c r="BQ23" i="154" s="1"/>
  <c r="BT23" i="154" s="1"/>
  <c r="BW23" i="154" s="1"/>
  <c r="BZ23" i="154" s="1"/>
  <c r="CC23" i="154" s="1"/>
  <c r="CF23" i="154" s="1"/>
  <c r="CI23" i="154" s="1"/>
  <c r="CL23" i="154" s="1"/>
  <c r="CO23" i="154" s="1"/>
  <c r="CR23" i="154" s="1"/>
  <c r="CU23" i="154" s="1"/>
  <c r="CW48" i="154"/>
  <c r="CV26" i="154"/>
  <c r="CW75" i="154"/>
  <c r="CW32" i="154"/>
  <c r="L48" i="154"/>
  <c r="O48" i="154" s="1"/>
  <c r="R48" i="154" s="1"/>
  <c r="U48" i="154" s="1"/>
  <c r="X48" i="154" s="1"/>
  <c r="AA48" i="154" s="1"/>
  <c r="AD48" i="154" s="1"/>
  <c r="AG48" i="154" s="1"/>
  <c r="AJ48" i="154" s="1"/>
  <c r="AM48" i="154" s="1"/>
  <c r="AP48" i="154" s="1"/>
  <c r="AS48" i="154" s="1"/>
  <c r="AV48" i="154" s="1"/>
  <c r="AY48" i="154" s="1"/>
  <c r="BB48" i="154" s="1"/>
  <c r="BE48" i="154" s="1"/>
  <c r="BH48" i="154" s="1"/>
  <c r="BK48" i="154" s="1"/>
  <c r="BN48" i="154" s="1"/>
  <c r="BQ48" i="154" s="1"/>
  <c r="BT48" i="154" s="1"/>
  <c r="BW48" i="154" s="1"/>
  <c r="BZ48" i="154" s="1"/>
  <c r="CC48" i="154" s="1"/>
  <c r="CF48" i="154" s="1"/>
  <c r="CI48" i="154" s="1"/>
  <c r="CL48" i="154" s="1"/>
  <c r="CO48" i="154" s="1"/>
  <c r="CR48" i="154" s="1"/>
  <c r="CU48" i="154" s="1"/>
  <c r="CX86" i="154"/>
  <c r="CZ86" i="154" s="1"/>
  <c r="DB86" i="154"/>
  <c r="DE86" i="154" s="1"/>
  <c r="BZ83" i="154"/>
  <c r="CC83" i="154" s="1"/>
  <c r="CF83" i="154" s="1"/>
  <c r="CI83" i="154" s="1"/>
  <c r="CL83" i="154" s="1"/>
  <c r="CO83" i="154" s="1"/>
  <c r="CR83" i="154" s="1"/>
  <c r="CU83" i="154" s="1"/>
  <c r="DB93" i="154"/>
  <c r="DE93" i="154" s="1"/>
  <c r="CX93" i="154"/>
  <c r="CZ93" i="154" s="1"/>
  <c r="CW36" i="154"/>
  <c r="R60" i="154"/>
  <c r="U60" i="154" s="1"/>
  <c r="X60" i="154" s="1"/>
  <c r="AA60" i="154" s="1"/>
  <c r="AD60" i="154" s="1"/>
  <c r="AG60" i="154" s="1"/>
  <c r="AJ60" i="154" s="1"/>
  <c r="AM60" i="154" s="1"/>
  <c r="AP60" i="154" s="1"/>
  <c r="AS60" i="154" s="1"/>
  <c r="AV60" i="154" s="1"/>
  <c r="AY60" i="154" s="1"/>
  <c r="BB60" i="154" s="1"/>
  <c r="BE60" i="154" s="1"/>
  <c r="BH60" i="154" s="1"/>
  <c r="BK60" i="154" s="1"/>
  <c r="BN60" i="154" s="1"/>
  <c r="BQ60" i="154" s="1"/>
  <c r="BT60" i="154" s="1"/>
  <c r="BW60" i="154" s="1"/>
  <c r="BZ60" i="154" s="1"/>
  <c r="CC60" i="154" s="1"/>
  <c r="CF60" i="154" s="1"/>
  <c r="CI60" i="154" s="1"/>
  <c r="CL60" i="154" s="1"/>
  <c r="CO60" i="154" s="1"/>
  <c r="CR60" i="154" s="1"/>
  <c r="CU60" i="154" s="1"/>
  <c r="CW39" i="154"/>
  <c r="CW58" i="154"/>
  <c r="CV60" i="154"/>
  <c r="L58" i="154"/>
  <c r="O58" i="154" s="1"/>
  <c r="R58" i="154" s="1"/>
  <c r="U58" i="154" s="1"/>
  <c r="X58" i="154" s="1"/>
  <c r="AA58" i="154" s="1"/>
  <c r="AD58" i="154" s="1"/>
  <c r="AG58" i="154" s="1"/>
  <c r="AJ58" i="154" s="1"/>
  <c r="AM58" i="154" s="1"/>
  <c r="AP58" i="154" s="1"/>
  <c r="AS58" i="154" s="1"/>
  <c r="AV58" i="154" s="1"/>
  <c r="AY58" i="154" s="1"/>
  <c r="BB58" i="154" s="1"/>
  <c r="BE58" i="154" s="1"/>
  <c r="BH58" i="154" s="1"/>
  <c r="BK58" i="154" s="1"/>
  <c r="BN58" i="154" s="1"/>
  <c r="BQ58" i="154" s="1"/>
  <c r="BT58" i="154" s="1"/>
  <c r="BW58" i="154" s="1"/>
  <c r="BZ58" i="154" s="1"/>
  <c r="CC58" i="154" s="1"/>
  <c r="CF58" i="154" s="1"/>
  <c r="CI58" i="154" s="1"/>
  <c r="CL58" i="154" s="1"/>
  <c r="CO58" i="154" s="1"/>
  <c r="CR58" i="154" s="1"/>
  <c r="CU58" i="154" s="1"/>
  <c r="CW47" i="154"/>
  <c r="CW77" i="154"/>
  <c r="CW82" i="154"/>
  <c r="O82" i="154"/>
  <c r="R82" i="154" s="1"/>
  <c r="U82" i="154" s="1"/>
  <c r="X82" i="154" s="1"/>
  <c r="AA82" i="154" s="1"/>
  <c r="AD82" i="154" s="1"/>
  <c r="AG82" i="154" s="1"/>
  <c r="AJ82" i="154" s="1"/>
  <c r="AM82" i="154" s="1"/>
  <c r="AP82" i="154" s="1"/>
  <c r="AS82" i="154" s="1"/>
  <c r="AV82" i="154" s="1"/>
  <c r="AY82" i="154" s="1"/>
  <c r="BB82" i="154" s="1"/>
  <c r="BE82" i="154" s="1"/>
  <c r="BH82" i="154" s="1"/>
  <c r="BK82" i="154" s="1"/>
  <c r="BN82" i="154" s="1"/>
  <c r="BQ82" i="154" s="1"/>
  <c r="BT82" i="154" s="1"/>
  <c r="BW82" i="154" s="1"/>
  <c r="BZ82" i="154" s="1"/>
  <c r="CC82" i="154" s="1"/>
  <c r="CF82" i="154" s="1"/>
  <c r="CI82" i="154" s="1"/>
  <c r="CL82" i="154" s="1"/>
  <c r="CO82" i="154" s="1"/>
  <c r="CR82" i="154" s="1"/>
  <c r="CU82" i="154" s="1"/>
  <c r="CW60" i="154"/>
  <c r="CW65" i="154"/>
  <c r="CV63" i="154"/>
  <c r="CW63" i="154"/>
  <c r="CW80" i="154"/>
  <c r="CW83" i="154"/>
  <c r="CK83" i="153"/>
  <c r="CK29" i="153"/>
  <c r="CK39" i="153"/>
  <c r="CK12" i="153"/>
  <c r="CK32" i="153"/>
  <c r="CK15" i="153"/>
  <c r="CH36" i="153"/>
  <c r="CH14" i="153"/>
  <c r="CG32" i="153"/>
  <c r="CG29" i="153"/>
  <c r="CK77" i="153"/>
  <c r="CK60" i="153"/>
  <c r="CK36" i="153"/>
  <c r="CK16" i="153"/>
  <c r="CK14" i="153"/>
  <c r="CQ58" i="153"/>
  <c r="CQ24" i="153"/>
  <c r="CK48" i="153"/>
  <c r="CK13" i="153"/>
  <c r="CG17" i="153"/>
  <c r="CK40" i="153"/>
  <c r="CK22" i="153"/>
  <c r="CK24" i="153"/>
  <c r="CK25" i="153"/>
  <c r="CK27" i="153"/>
  <c r="CK58" i="153"/>
  <c r="CG60" i="153"/>
  <c r="CE17" i="153"/>
  <c r="CG75" i="153"/>
  <c r="CG36" i="153"/>
  <c r="CG26" i="153"/>
  <c r="CG12" i="153"/>
  <c r="DB39" i="154" l="1"/>
  <c r="DE39" i="154" s="1"/>
  <c r="DB36" i="154"/>
  <c r="DE36" i="154" s="1"/>
  <c r="DB53" i="154"/>
  <c r="DE53" i="154" s="1"/>
  <c r="DB25" i="154"/>
  <c r="DE25" i="154" s="1"/>
  <c r="DB6" i="154"/>
  <c r="DE6" i="154" s="1"/>
  <c r="DB63" i="154"/>
  <c r="DE63" i="154" s="1"/>
  <c r="CX12" i="154"/>
  <c r="CZ12" i="154" s="1"/>
  <c r="CX16" i="154"/>
  <c r="CZ16" i="154" s="1"/>
  <c r="CX43" i="154"/>
  <c r="CZ43" i="154" s="1"/>
  <c r="DB14" i="154"/>
  <c r="DE14" i="154" s="1"/>
  <c r="DB13" i="154"/>
  <c r="DE13" i="154" s="1"/>
  <c r="CX15" i="154"/>
  <c r="CZ15" i="154" s="1"/>
  <c r="DB40" i="154"/>
  <c r="DE40" i="154" s="1"/>
  <c r="CX40" i="154"/>
  <c r="CZ40" i="154" s="1"/>
  <c r="CX83" i="154"/>
  <c r="CZ83" i="154" s="1"/>
  <c r="DB83" i="154"/>
  <c r="DE83" i="154" s="1"/>
  <c r="CX32" i="154"/>
  <c r="CZ32" i="154" s="1"/>
  <c r="DB32" i="154"/>
  <c r="DE32" i="154" s="1"/>
  <c r="DB82" i="154"/>
  <c r="DE82" i="154" s="1"/>
  <c r="CX82" i="154"/>
  <c r="CZ82" i="154" s="1"/>
  <c r="DB22" i="154"/>
  <c r="DE22" i="154" s="1"/>
  <c r="CX22" i="154"/>
  <c r="CZ22" i="154" s="1"/>
  <c r="CX75" i="154"/>
  <c r="CZ75" i="154" s="1"/>
  <c r="DB75" i="154"/>
  <c r="DE75" i="154" s="1"/>
  <c r="DB24" i="154"/>
  <c r="DE24" i="154" s="1"/>
  <c r="CX24" i="154"/>
  <c r="CZ24" i="154" s="1"/>
  <c r="CX48" i="154"/>
  <c r="CZ48" i="154" s="1"/>
  <c r="DB48" i="154"/>
  <c r="DE48" i="154" s="1"/>
  <c r="DB58" i="154"/>
  <c r="DE58" i="154" s="1"/>
  <c r="CX58" i="154"/>
  <c r="CZ58" i="154" s="1"/>
  <c r="DB17" i="154"/>
  <c r="DE17" i="154" s="1"/>
  <c r="CX17" i="154"/>
  <c r="CZ17" i="154" s="1"/>
  <c r="DB23" i="154"/>
  <c r="DE23" i="154" s="1"/>
  <c r="CX23" i="154"/>
  <c r="CZ23" i="154" s="1"/>
  <c r="DB77" i="154"/>
  <c r="DE77" i="154" s="1"/>
  <c r="CX77" i="154"/>
  <c r="CZ77" i="154" s="1"/>
  <c r="CX60" i="154"/>
  <c r="CZ60" i="154" s="1"/>
  <c r="DB60" i="154"/>
  <c r="DE60" i="154" s="1"/>
  <c r="DB27" i="154"/>
  <c r="DE27" i="154" s="1"/>
  <c r="CX27" i="154"/>
  <c r="CZ27" i="154" s="1"/>
  <c r="DB29" i="154"/>
  <c r="DE29" i="154" s="1"/>
  <c r="CX29" i="154"/>
  <c r="CZ29" i="154" s="1"/>
  <c r="CX59" i="154"/>
  <c r="CZ59" i="154" s="1"/>
  <c r="DB59" i="154"/>
  <c r="DE59" i="154" s="1"/>
  <c r="CH75" i="153"/>
  <c r="CH63" i="153"/>
  <c r="CH59" i="153"/>
  <c r="CH17" i="153"/>
  <c r="CH29" i="153"/>
  <c r="CH39" i="153"/>
  <c r="CH12" i="153"/>
  <c r="CH32" i="153"/>
  <c r="CH77" i="153"/>
  <c r="CH15" i="153"/>
  <c r="CH23" i="153"/>
  <c r="CH22" i="153"/>
  <c r="CH40" i="153"/>
  <c r="CH6" i="153"/>
  <c r="CH27" i="153"/>
  <c r="CD29" i="153"/>
  <c r="CH48" i="153"/>
  <c r="CH70" i="153"/>
  <c r="CH19" i="153"/>
  <c r="CH58" i="153"/>
  <c r="CH80" i="153"/>
  <c r="CH16" i="153"/>
  <c r="CH13" i="153"/>
  <c r="CB14" i="153"/>
  <c r="CD75" i="153"/>
  <c r="CD60" i="153"/>
  <c r="CD48" i="153"/>
  <c r="CE83" i="153"/>
  <c r="CE75" i="153"/>
  <c r="CE63" i="153"/>
  <c r="CE59" i="153"/>
  <c r="CE29" i="153"/>
  <c r="CE12" i="153"/>
  <c r="CE32" i="153"/>
  <c r="CE15" i="153"/>
  <c r="CE65" i="153"/>
  <c r="CE77" i="153"/>
  <c r="CE22" i="153"/>
  <c r="CE23" i="153"/>
  <c r="CE16" i="153"/>
  <c r="CE14" i="153"/>
  <c r="CE40" i="153"/>
  <c r="CE25" i="153"/>
  <c r="CE6" i="153"/>
  <c r="CE71" i="153"/>
  <c r="CE48" i="153"/>
  <c r="CE24" i="153"/>
  <c r="AI48" i="153"/>
  <c r="CE13" i="153"/>
  <c r="CE18" i="153"/>
  <c r="CE27" i="153"/>
  <c r="CE80" i="153"/>
  <c r="CB15" i="153"/>
  <c r="CB27" i="153"/>
  <c r="CB40" i="153"/>
  <c r="CB77" i="153"/>
  <c r="CB60" i="153"/>
  <c r="CB43" i="153"/>
  <c r="CB22" i="153"/>
  <c r="CB25" i="153"/>
  <c r="CB16" i="153"/>
  <c r="CB18" i="153"/>
  <c r="CB29" i="153"/>
  <c r="CB36" i="153"/>
  <c r="CB6" i="153"/>
  <c r="CB48" i="153"/>
  <c r="CB23" i="153"/>
  <c r="CB19" i="153"/>
  <c r="CB58" i="153"/>
  <c r="BX63" i="153"/>
  <c r="BX75" i="153"/>
  <c r="BX60" i="153"/>
  <c r="BX39" i="153"/>
  <c r="BX36" i="153"/>
  <c r="BX32" i="153"/>
  <c r="BX29" i="153"/>
  <c r="BX17" i="153"/>
  <c r="BX12" i="153"/>
  <c r="BY28" i="153"/>
  <c r="BY83" i="153"/>
  <c r="BY82" i="153"/>
  <c r="BY63" i="153"/>
  <c r="BY59" i="153"/>
  <c r="BY17" i="153"/>
  <c r="BY29" i="153"/>
  <c r="BY39" i="153"/>
  <c r="BY12" i="153"/>
  <c r="BY32" i="153"/>
  <c r="BY15" i="153"/>
  <c r="BV58" i="153"/>
  <c r="BY25" i="153"/>
  <c r="BY48" i="153"/>
  <c r="BY13" i="153"/>
  <c r="BY77" i="153"/>
  <c r="BY27" i="153"/>
  <c r="BY22" i="153"/>
  <c r="BY40" i="153"/>
  <c r="BY36" i="153"/>
  <c r="BY14" i="153"/>
  <c r="BY6" i="153"/>
  <c r="BY19" i="153"/>
  <c r="BY58" i="153"/>
  <c r="BY16" i="153"/>
  <c r="BU17" i="153"/>
  <c r="BU83" i="153"/>
  <c r="BU75" i="153"/>
  <c r="BU60" i="153"/>
  <c r="BU36" i="153"/>
  <c r="BU32" i="153"/>
  <c r="BU29" i="153"/>
  <c r="BU26" i="153"/>
  <c r="BV63" i="153"/>
  <c r="BV59" i="153"/>
  <c r="BV39" i="153"/>
  <c r="BV12" i="153"/>
  <c r="BV81" i="153"/>
  <c r="BV75" i="153"/>
  <c r="BV17" i="153"/>
  <c r="BV29" i="153"/>
  <c r="BV32" i="153"/>
  <c r="CZ94" i="154" l="1"/>
  <c r="CZ95" i="154" s="1"/>
  <c r="BV14" i="153"/>
  <c r="BV77" i="153"/>
  <c r="BV22" i="153"/>
  <c r="BV16" i="153"/>
  <c r="BO17" i="153"/>
  <c r="BV40" i="153"/>
  <c r="BV15" i="153"/>
  <c r="BV27" i="153"/>
  <c r="BV47" i="153"/>
  <c r="BO75" i="153"/>
  <c r="BO60" i="153" l="1"/>
  <c r="BO29" i="153"/>
  <c r="BP83" i="153"/>
  <c r="BP82" i="153"/>
  <c r="BP63" i="153"/>
  <c r="BP59" i="153"/>
  <c r="BP17" i="153"/>
  <c r="BP12" i="153"/>
  <c r="BP32" i="153"/>
  <c r="BP15" i="153"/>
  <c r="BP75" i="153"/>
  <c r="BP29" i="153"/>
  <c r="BP39" i="153"/>
  <c r="BL16" i="153" l="1"/>
  <c r="BP77" i="153"/>
  <c r="BP27" i="153"/>
  <c r="BP23" i="153"/>
  <c r="BP16" i="153"/>
  <c r="BP14" i="153"/>
  <c r="BV25" i="153"/>
  <c r="BV18" i="153"/>
  <c r="BV6" i="153"/>
  <c r="BP13" i="153" l="1"/>
  <c r="BP47" i="153"/>
  <c r="BP48" i="153"/>
  <c r="BP40" i="153"/>
  <c r="BP25" i="153"/>
  <c r="BP18" i="153"/>
  <c r="BL75" i="153"/>
  <c r="BL60" i="153"/>
  <c r="BL36" i="153"/>
  <c r="BL29" i="153"/>
  <c r="BL26" i="153"/>
  <c r="BL17" i="153"/>
  <c r="BL12" i="153"/>
  <c r="BM83" i="153"/>
  <c r="BM75" i="153"/>
  <c r="BM63" i="153"/>
  <c r="BM59" i="153"/>
  <c r="BM17" i="153"/>
  <c r="BM29" i="153"/>
  <c r="BM12" i="153"/>
  <c r="BM32" i="153"/>
  <c r="BM15" i="153"/>
  <c r="BM77" i="153"/>
  <c r="BM60" i="153"/>
  <c r="BM53" i="153"/>
  <c r="BM23" i="153"/>
  <c r="BM22" i="153"/>
  <c r="BM14" i="153"/>
  <c r="W40" i="153"/>
  <c r="T40" i="153"/>
  <c r="BF71" i="153"/>
  <c r="BM16" i="153"/>
  <c r="BI17" i="153"/>
  <c r="BJ17" i="153"/>
  <c r="BM40" i="153"/>
  <c r="BM27" i="153"/>
  <c r="BM19" i="153"/>
  <c r="BM80" i="153"/>
  <c r="BM48" i="153"/>
  <c r="BM18" i="153"/>
  <c r="BM25" i="153"/>
  <c r="BJ60" i="153"/>
  <c r="BJ75" i="153"/>
  <c r="BI75" i="153"/>
  <c r="BI60" i="153"/>
  <c r="BI32" i="153"/>
  <c r="BI29" i="153"/>
  <c r="BI16" i="153"/>
  <c r="BI12" i="153"/>
  <c r="BJ82" i="153"/>
  <c r="BJ63" i="153"/>
  <c r="BJ59" i="153"/>
  <c r="BJ29" i="153"/>
  <c r="BJ39" i="153"/>
  <c r="BJ16" i="153"/>
  <c r="BJ12" i="153"/>
  <c r="BJ32" i="153" l="1"/>
  <c r="BJ40" i="153"/>
  <c r="BJ36" i="153"/>
  <c r="BJ27" i="153"/>
  <c r="BJ48" i="153"/>
  <c r="BJ14" i="153"/>
  <c r="BJ22" i="153"/>
  <c r="BJ77" i="153"/>
  <c r="BJ45" i="153"/>
  <c r="BJ43" i="153"/>
  <c r="BG16" i="153"/>
  <c r="BJ28" i="153"/>
  <c r="BG13" i="153"/>
  <c r="BD28" i="153"/>
  <c r="BG77" i="153"/>
  <c r="BG40" i="153"/>
  <c r="BG27" i="153"/>
  <c r="BG19" i="153"/>
  <c r="BG60" i="153"/>
  <c r="BG22" i="153"/>
  <c r="BG15" i="153"/>
  <c r="BG6" i="153"/>
  <c r="BG14" i="153"/>
  <c r="BG59" i="153"/>
  <c r="BD77" i="153"/>
  <c r="BD40" i="153"/>
  <c r="BD27" i="153"/>
  <c r="BD25" i="153"/>
  <c r="BD22" i="153"/>
  <c r="BC83" i="153" l="1"/>
  <c r="BC75" i="153"/>
  <c r="BC36" i="153"/>
  <c r="BC29" i="153"/>
  <c r="BC17" i="153"/>
  <c r="BC12" i="153"/>
  <c r="BD83" i="153"/>
  <c r="BD75" i="153"/>
  <c r="BD63" i="153"/>
  <c r="BD59" i="153"/>
  <c r="BD17" i="153"/>
  <c r="BD29" i="153"/>
  <c r="BD39" i="153"/>
  <c r="BD12" i="153"/>
  <c r="BD32" i="153"/>
  <c r="BD15" i="153"/>
  <c r="BD60" i="153"/>
  <c r="BD53" i="153"/>
  <c r="BD36" i="153"/>
  <c r="BD23" i="153"/>
  <c r="BD16" i="153"/>
  <c r="BD14" i="153"/>
  <c r="BD6" i="153"/>
  <c r="K48" i="153"/>
  <c r="BD48" i="153"/>
  <c r="BA17" i="153"/>
  <c r="AZ75" i="153"/>
  <c r="AZ36" i="153"/>
  <c r="AZ32" i="153"/>
  <c r="AZ29" i="153"/>
  <c r="AZ26" i="153"/>
  <c r="AZ17" i="153"/>
  <c r="BA75" i="153"/>
  <c r="BA63" i="153"/>
  <c r="BA59" i="153"/>
  <c r="BA29" i="153"/>
  <c r="BA12" i="153"/>
  <c r="BA32" i="153"/>
  <c r="BA15" i="153"/>
  <c r="BA60" i="153" l="1"/>
  <c r="BA14" i="153"/>
  <c r="BA40" i="153"/>
  <c r="BA27" i="153"/>
  <c r="BA22" i="153"/>
  <c r="BA48" i="153"/>
  <c r="BA58" i="153"/>
  <c r="BA25" i="153"/>
  <c r="BA16" i="153"/>
  <c r="BA77" i="153"/>
  <c r="BA18" i="153"/>
  <c r="AO83" i="153"/>
  <c r="AT75" i="153"/>
  <c r="AT36" i="153"/>
  <c r="AT32" i="153"/>
  <c r="AT29" i="153"/>
  <c r="AT17" i="153"/>
  <c r="AT12" i="153"/>
  <c r="AU63" i="153" l="1"/>
  <c r="AU59" i="153"/>
  <c r="AU17" i="153"/>
  <c r="AU29" i="153"/>
  <c r="AU39" i="153"/>
  <c r="AU12" i="153"/>
  <c r="AU32" i="153"/>
  <c r="AU15" i="153"/>
  <c r="AO27" i="153"/>
  <c r="AO22" i="153"/>
  <c r="AR14" i="153"/>
  <c r="AU60" i="153"/>
  <c r="AU53" i="153"/>
  <c r="AU36" i="153"/>
  <c r="AU25" i="153"/>
  <c r="AU23" i="153"/>
  <c r="AU14" i="153"/>
  <c r="AU16" i="153"/>
  <c r="AU27" i="153"/>
  <c r="AU40" i="153"/>
  <c r="AU77" i="153"/>
  <c r="AU58" i="153"/>
  <c r="AU43" i="153"/>
  <c r="AU22" i="153"/>
  <c r="AU13" i="153"/>
  <c r="AQ75" i="153"/>
  <c r="AQ36" i="153"/>
  <c r="AQ32" i="153"/>
  <c r="AQ26" i="153"/>
  <c r="AQ17" i="153"/>
  <c r="AQ12" i="153"/>
  <c r="AR36" i="153"/>
  <c r="AR75" i="153"/>
  <c r="AR59" i="153"/>
  <c r="AR29" i="153"/>
  <c r="AR15" i="153"/>
  <c r="AR60" i="153" l="1"/>
  <c r="AN29" i="153"/>
  <c r="AN17" i="153"/>
  <c r="AR23" i="153"/>
  <c r="AR77" i="153"/>
  <c r="AR27" i="153"/>
  <c r="AO40" i="153"/>
  <c r="AR40" i="153"/>
  <c r="AR22" i="153"/>
  <c r="AR58" i="153"/>
  <c r="AR24" i="153"/>
  <c r="AR80" i="153"/>
  <c r="AR16" i="153"/>
  <c r="AR6" i="153" l="1"/>
  <c r="AR13" i="153"/>
  <c r="AO75" i="153"/>
  <c r="AN75" i="153"/>
  <c r="AO63" i="153" l="1"/>
  <c r="AO59" i="153"/>
  <c r="AO17" i="153"/>
  <c r="AO29" i="153"/>
  <c r="AO12" i="153"/>
  <c r="AO32" i="153"/>
  <c r="AO25" i="153" l="1"/>
  <c r="AO48" i="153"/>
  <c r="AO15" i="153"/>
  <c r="AO13" i="153"/>
  <c r="AO77" i="153"/>
  <c r="AO14" i="153"/>
  <c r="AO80" i="153"/>
  <c r="AO60" i="153"/>
  <c r="AO36" i="153"/>
  <c r="AO26" i="153"/>
  <c r="AO23" i="153"/>
  <c r="AL27" i="153"/>
  <c r="AO16" i="153"/>
  <c r="AL29" i="153"/>
  <c r="AH17" i="153"/>
  <c r="AL60" i="153"/>
  <c r="AL77" i="153"/>
  <c r="AL48" i="153"/>
  <c r="AL39" i="153"/>
  <c r="AL40" i="153"/>
  <c r="AL22" i="153"/>
  <c r="AL15" i="153"/>
  <c r="AL58" i="153"/>
  <c r="AL14" i="153"/>
  <c r="AH75" i="153"/>
  <c r="AH36" i="153"/>
  <c r="AH29" i="153"/>
  <c r="AI83" i="153" l="1"/>
  <c r="AI75" i="153"/>
  <c r="AI63" i="153"/>
  <c r="AI59" i="153"/>
  <c r="AI17" i="153"/>
  <c r="AI29" i="153"/>
  <c r="AI12" i="153"/>
  <c r="AI32" i="153"/>
  <c r="AE17" i="153"/>
  <c r="AI60" i="153"/>
  <c r="AI36" i="153"/>
  <c r="AI23" i="153"/>
  <c r="AI14" i="153"/>
  <c r="AI16" i="153"/>
  <c r="AI40" i="153"/>
  <c r="AI13" i="153"/>
  <c r="AI71" i="153"/>
  <c r="AI27" i="153"/>
  <c r="AI15" i="153"/>
  <c r="AI19" i="153"/>
  <c r="K40" i="153"/>
  <c r="K27" i="153"/>
  <c r="AI25" i="153"/>
  <c r="AI6" i="153"/>
  <c r="AI58" i="153"/>
  <c r="AI77" i="153"/>
  <c r="AI47" i="153"/>
  <c r="W36" i="153"/>
  <c r="Z36" i="153"/>
  <c r="V36" i="153"/>
  <c r="Y36" i="153"/>
  <c r="AF29" i="153"/>
  <c r="AE75" i="153"/>
  <c r="AE29" i="153"/>
  <c r="AE12" i="153"/>
  <c r="AF83" i="153"/>
  <c r="AF75" i="153"/>
  <c r="AF63" i="153"/>
  <c r="AF59" i="153"/>
  <c r="AF17" i="153"/>
  <c r="AF12" i="153"/>
  <c r="AF32" i="153"/>
  <c r="AF60" i="153"/>
  <c r="AF14" i="153"/>
  <c r="AF16" i="153"/>
  <c r="Y17" i="153"/>
  <c r="Z40" i="153"/>
  <c r="Z27" i="153"/>
  <c r="Z25" i="153"/>
  <c r="Z15" i="153"/>
  <c r="Z6" i="153"/>
  <c r="Z14" i="153"/>
  <c r="Z13" i="153"/>
  <c r="Z65" i="153"/>
  <c r="Z60" i="153"/>
  <c r="Z29" i="153"/>
  <c r="Z48" i="153"/>
  <c r="Z32" i="153"/>
  <c r="Z77" i="153"/>
  <c r="Z58" i="153"/>
  <c r="Z39" i="153"/>
  <c r="Z18" i="153"/>
  <c r="Y83" i="153"/>
  <c r="Z63" i="153"/>
  <c r="Y63" i="153"/>
  <c r="Y75" i="153"/>
  <c r="Y32" i="153"/>
  <c r="Y29" i="153"/>
  <c r="Y12" i="153"/>
  <c r="Z83" i="153"/>
  <c r="Z75" i="153"/>
  <c r="Z59" i="153"/>
  <c r="Z17" i="153"/>
  <c r="Z12" i="153"/>
  <c r="Z23" i="153" l="1"/>
  <c r="Z16" i="153"/>
  <c r="V75" i="153"/>
  <c r="V26" i="153"/>
  <c r="V17" i="153"/>
  <c r="W63" i="153"/>
  <c r="W59" i="153"/>
  <c r="W17" i="153"/>
  <c r="W29" i="153"/>
  <c r="W39" i="153"/>
  <c r="W12" i="153"/>
  <c r="W32" i="153"/>
  <c r="S12" i="153" l="1"/>
  <c r="W60" i="153"/>
  <c r="W23" i="153"/>
  <c r="W16" i="153"/>
  <c r="W14" i="153"/>
  <c r="W65" i="153"/>
  <c r="W22" i="153"/>
  <c r="W48" i="153"/>
  <c r="Z22" i="153"/>
  <c r="N17" i="153"/>
  <c r="W27" i="153"/>
  <c r="W19" i="153"/>
  <c r="W15" i="153"/>
  <c r="W77" i="153"/>
  <c r="W18" i="153"/>
  <c r="W25" i="153"/>
  <c r="M63" i="153"/>
  <c r="S75" i="153"/>
  <c r="S36" i="153"/>
  <c r="S29" i="153"/>
  <c r="S17" i="153"/>
  <c r="T82" i="153"/>
  <c r="T75" i="153"/>
  <c r="T63" i="153"/>
  <c r="T59" i="153"/>
  <c r="T17" i="153"/>
  <c r="T29" i="153"/>
  <c r="T39" i="153"/>
  <c r="T12" i="153"/>
  <c r="T32" i="153"/>
  <c r="T15" i="153"/>
  <c r="T60" i="153"/>
  <c r="T23" i="153"/>
  <c r="T14" i="153"/>
  <c r="T16" i="153"/>
  <c r="T22" i="153"/>
  <c r="T25" i="153"/>
  <c r="T27" i="153"/>
  <c r="T58" i="153"/>
  <c r="T48" i="153"/>
  <c r="T80" i="153"/>
  <c r="T77" i="153"/>
  <c r="Q43" i="153"/>
  <c r="Q65" i="153"/>
  <c r="Q48" i="153"/>
  <c r="T13" i="153"/>
  <c r="Q77" i="153"/>
  <c r="Q40" i="153"/>
  <c r="Q19" i="153"/>
  <c r="Q27" i="153"/>
  <c r="Q15" i="153"/>
  <c r="Q16" i="153"/>
  <c r="Q59" i="153"/>
  <c r="Q60" i="153"/>
  <c r="Q14" i="153"/>
  <c r="Q18" i="153"/>
  <c r="N77" i="153"/>
  <c r="N40" i="153"/>
  <c r="N32" i="153"/>
  <c r="N22" i="153"/>
  <c r="N14" i="153"/>
  <c r="M32" i="153"/>
  <c r="M75" i="153"/>
  <c r="M60" i="153"/>
  <c r="M59" i="153"/>
  <c r="M39" i="153"/>
  <c r="M36" i="153"/>
  <c r="M29" i="153"/>
  <c r="M26" i="153"/>
  <c r="M17" i="153"/>
  <c r="M12" i="153"/>
  <c r="N82" i="153"/>
  <c r="N75" i="153"/>
  <c r="N63" i="153"/>
  <c r="N59" i="153"/>
  <c r="N29" i="153"/>
  <c r="N39" i="153"/>
  <c r="N12" i="153"/>
  <c r="N15" i="153"/>
  <c r="N60" i="153"/>
  <c r="N23" i="153"/>
  <c r="N16" i="153"/>
  <c r="J12" i="153"/>
  <c r="N27" i="153"/>
  <c r="N48" i="153"/>
  <c r="K22" i="153"/>
  <c r="N25" i="153"/>
  <c r="J32" i="153"/>
  <c r="K83" i="153"/>
  <c r="K59" i="153"/>
  <c r="J75" i="153" l="1"/>
  <c r="J29" i="153"/>
  <c r="J17" i="153"/>
  <c r="J60" i="153"/>
  <c r="J36" i="153"/>
  <c r="J35" i="153"/>
  <c r="K63" i="153" l="1"/>
  <c r="K17" i="153"/>
  <c r="K29" i="153"/>
  <c r="K39" i="153"/>
  <c r="K32" i="153"/>
  <c r="CQ40" i="152" l="1"/>
  <c r="K60" i="153"/>
  <c r="K36" i="153"/>
  <c r="K23" i="153"/>
  <c r="K16" i="153"/>
  <c r="K14" i="153"/>
  <c r="K13" i="153"/>
  <c r="K15" i="153"/>
  <c r="K24" i="153"/>
  <c r="K25" i="153"/>
  <c r="K47" i="153"/>
  <c r="K58" i="153"/>
  <c r="K77" i="153"/>
  <c r="CS76" i="152"/>
  <c r="CS60" i="152"/>
  <c r="CS36" i="152"/>
  <c r="CS32" i="152"/>
  <c r="CS29" i="152"/>
  <c r="CS17" i="152"/>
  <c r="CS12" i="152"/>
  <c r="CT76" i="152"/>
  <c r="CT63" i="152"/>
  <c r="CT59" i="152"/>
  <c r="CT17" i="152"/>
  <c r="CT29" i="152"/>
  <c r="CT39" i="152"/>
  <c r="CT12" i="152"/>
  <c r="CT32" i="152"/>
  <c r="CT60" i="152" l="1"/>
  <c r="CT23" i="152"/>
  <c r="CT16" i="152"/>
  <c r="CT14" i="152"/>
  <c r="CT47" i="152"/>
  <c r="CP47" i="152"/>
  <c r="CQ27" i="152"/>
  <c r="CT13" i="152" l="1"/>
  <c r="CT77" i="152"/>
  <c r="CT27" i="152"/>
  <c r="CW93" i="153"/>
  <c r="CV93" i="153"/>
  <c r="I93" i="153"/>
  <c r="L93" i="153" s="1"/>
  <c r="O93" i="153" s="1"/>
  <c r="R93" i="153" s="1"/>
  <c r="U93" i="153" s="1"/>
  <c r="X93" i="153" s="1"/>
  <c r="AA93" i="153" s="1"/>
  <c r="AD93" i="153" s="1"/>
  <c r="AG93" i="153" s="1"/>
  <c r="AJ93" i="153" s="1"/>
  <c r="AM93" i="153" s="1"/>
  <c r="AP93" i="153" s="1"/>
  <c r="AS93" i="153" s="1"/>
  <c r="AV93" i="153" s="1"/>
  <c r="AY93" i="153" s="1"/>
  <c r="BB93" i="153" s="1"/>
  <c r="BE93" i="153" s="1"/>
  <c r="BH93" i="153" s="1"/>
  <c r="BK93" i="153" s="1"/>
  <c r="BN93" i="153" s="1"/>
  <c r="BQ93" i="153" s="1"/>
  <c r="BT93" i="153" s="1"/>
  <c r="BW93" i="153" s="1"/>
  <c r="BZ93" i="153" s="1"/>
  <c r="CC93" i="153" s="1"/>
  <c r="CF93" i="153" s="1"/>
  <c r="CI93" i="153" s="1"/>
  <c r="CL93" i="153" s="1"/>
  <c r="CO93" i="153" s="1"/>
  <c r="CR93" i="153" s="1"/>
  <c r="CU93" i="153" s="1"/>
  <c r="CW92" i="153"/>
  <c r="CV92" i="153"/>
  <c r="I92" i="153"/>
  <c r="L92" i="153" s="1"/>
  <c r="O92" i="153" s="1"/>
  <c r="R92" i="153" s="1"/>
  <c r="U92" i="153" s="1"/>
  <c r="X92" i="153" s="1"/>
  <c r="AA92" i="153" s="1"/>
  <c r="AD92" i="153" s="1"/>
  <c r="AG92" i="153" s="1"/>
  <c r="AJ92" i="153" s="1"/>
  <c r="AM92" i="153" s="1"/>
  <c r="AP92" i="153" s="1"/>
  <c r="AS92" i="153" s="1"/>
  <c r="AV92" i="153" s="1"/>
  <c r="AY92" i="153" s="1"/>
  <c r="BB92" i="153" s="1"/>
  <c r="BE92" i="153" s="1"/>
  <c r="BH92" i="153" s="1"/>
  <c r="BK92" i="153" s="1"/>
  <c r="BN92" i="153" s="1"/>
  <c r="BQ92" i="153" s="1"/>
  <c r="BT92" i="153" s="1"/>
  <c r="BW92" i="153" s="1"/>
  <c r="BZ92" i="153" s="1"/>
  <c r="CC92" i="153" s="1"/>
  <c r="CF92" i="153" s="1"/>
  <c r="CI92" i="153" s="1"/>
  <c r="CL92" i="153" s="1"/>
  <c r="CO92" i="153" s="1"/>
  <c r="CR92" i="153" s="1"/>
  <c r="CU92" i="153" s="1"/>
  <c r="CW91" i="153"/>
  <c r="CV91" i="153"/>
  <c r="I91" i="153"/>
  <c r="L91" i="153" s="1"/>
  <c r="O91" i="153" s="1"/>
  <c r="R91" i="153" s="1"/>
  <c r="U91" i="153" s="1"/>
  <c r="X91" i="153" s="1"/>
  <c r="AA91" i="153" s="1"/>
  <c r="AD91" i="153" s="1"/>
  <c r="AG91" i="153" s="1"/>
  <c r="AJ91" i="153" s="1"/>
  <c r="AM91" i="153" s="1"/>
  <c r="AP91" i="153" s="1"/>
  <c r="AS91" i="153" s="1"/>
  <c r="AV91" i="153" s="1"/>
  <c r="AY91" i="153" s="1"/>
  <c r="BB91" i="153" s="1"/>
  <c r="BE91" i="153" s="1"/>
  <c r="BH91" i="153" s="1"/>
  <c r="BK91" i="153" s="1"/>
  <c r="BN91" i="153" s="1"/>
  <c r="BQ91" i="153" s="1"/>
  <c r="BT91" i="153" s="1"/>
  <c r="BW91" i="153" s="1"/>
  <c r="BZ91" i="153" s="1"/>
  <c r="CC91" i="153" s="1"/>
  <c r="CF91" i="153" s="1"/>
  <c r="CI91" i="153" s="1"/>
  <c r="CL91" i="153" s="1"/>
  <c r="CO91" i="153" s="1"/>
  <c r="CR91" i="153" s="1"/>
  <c r="CU91" i="153" s="1"/>
  <c r="CW90" i="153"/>
  <c r="CV90" i="153"/>
  <c r="I90" i="153"/>
  <c r="L90" i="153" s="1"/>
  <c r="O90" i="153" s="1"/>
  <c r="R90" i="153" s="1"/>
  <c r="U90" i="153" s="1"/>
  <c r="X90" i="153" s="1"/>
  <c r="AA90" i="153" s="1"/>
  <c r="AD90" i="153" s="1"/>
  <c r="AG90" i="153" s="1"/>
  <c r="AJ90" i="153" s="1"/>
  <c r="AM90" i="153" s="1"/>
  <c r="AP90" i="153" s="1"/>
  <c r="AS90" i="153" s="1"/>
  <c r="AV90" i="153" s="1"/>
  <c r="AY90" i="153" s="1"/>
  <c r="BB90" i="153" s="1"/>
  <c r="BE90" i="153" s="1"/>
  <c r="BH90" i="153" s="1"/>
  <c r="BK90" i="153" s="1"/>
  <c r="BN90" i="153" s="1"/>
  <c r="BQ90" i="153" s="1"/>
  <c r="BT90" i="153" s="1"/>
  <c r="BW90" i="153" s="1"/>
  <c r="BZ90" i="153" s="1"/>
  <c r="CC90" i="153" s="1"/>
  <c r="CF90" i="153" s="1"/>
  <c r="CI90" i="153" s="1"/>
  <c r="CL90" i="153" s="1"/>
  <c r="CO90" i="153" s="1"/>
  <c r="CR90" i="153" s="1"/>
  <c r="CU90" i="153" s="1"/>
  <c r="CW89" i="153"/>
  <c r="CV89" i="153"/>
  <c r="I89" i="153"/>
  <c r="L89" i="153" s="1"/>
  <c r="O89" i="153" s="1"/>
  <c r="R89" i="153" s="1"/>
  <c r="U89" i="153" s="1"/>
  <c r="X89" i="153" s="1"/>
  <c r="AA89" i="153" s="1"/>
  <c r="AD89" i="153" s="1"/>
  <c r="AG89" i="153" s="1"/>
  <c r="AJ89" i="153" s="1"/>
  <c r="AM89" i="153" s="1"/>
  <c r="AP89" i="153" s="1"/>
  <c r="AS89" i="153" s="1"/>
  <c r="AV89" i="153" s="1"/>
  <c r="AY89" i="153" s="1"/>
  <c r="BB89" i="153" s="1"/>
  <c r="BE89" i="153" s="1"/>
  <c r="BH89" i="153" s="1"/>
  <c r="BK89" i="153" s="1"/>
  <c r="BN89" i="153" s="1"/>
  <c r="BQ89" i="153" s="1"/>
  <c r="BT89" i="153" s="1"/>
  <c r="BW89" i="153" s="1"/>
  <c r="BZ89" i="153" s="1"/>
  <c r="CC89" i="153" s="1"/>
  <c r="CF89" i="153" s="1"/>
  <c r="CI89" i="153" s="1"/>
  <c r="CL89" i="153" s="1"/>
  <c r="CO89" i="153" s="1"/>
  <c r="CR89" i="153" s="1"/>
  <c r="CU89" i="153" s="1"/>
  <c r="CW88" i="153"/>
  <c r="CV88" i="153"/>
  <c r="I88" i="153"/>
  <c r="L88" i="153" s="1"/>
  <c r="O88" i="153" s="1"/>
  <c r="R88" i="153" s="1"/>
  <c r="U88" i="153" s="1"/>
  <c r="X88" i="153" s="1"/>
  <c r="AA88" i="153" s="1"/>
  <c r="AD88" i="153" s="1"/>
  <c r="AG88" i="153" s="1"/>
  <c r="AJ88" i="153" s="1"/>
  <c r="AM88" i="153" s="1"/>
  <c r="AP88" i="153" s="1"/>
  <c r="AS88" i="153" s="1"/>
  <c r="AV88" i="153" s="1"/>
  <c r="AY88" i="153" s="1"/>
  <c r="BB88" i="153" s="1"/>
  <c r="BE88" i="153" s="1"/>
  <c r="BH88" i="153" s="1"/>
  <c r="BK88" i="153" s="1"/>
  <c r="BN88" i="153" s="1"/>
  <c r="BQ88" i="153" s="1"/>
  <c r="BT88" i="153" s="1"/>
  <c r="BW88" i="153" s="1"/>
  <c r="BZ88" i="153" s="1"/>
  <c r="CC88" i="153" s="1"/>
  <c r="CF88" i="153" s="1"/>
  <c r="CI88" i="153" s="1"/>
  <c r="CL88" i="153" s="1"/>
  <c r="CO88" i="153" s="1"/>
  <c r="CR88" i="153" s="1"/>
  <c r="CU88" i="153" s="1"/>
  <c r="CW87" i="153"/>
  <c r="CV87" i="153"/>
  <c r="I87" i="153"/>
  <c r="L87" i="153" s="1"/>
  <c r="O87" i="153" s="1"/>
  <c r="R87" i="153" s="1"/>
  <c r="U87" i="153" s="1"/>
  <c r="X87" i="153" s="1"/>
  <c r="AA87" i="153" s="1"/>
  <c r="AD87" i="153" s="1"/>
  <c r="AG87" i="153" s="1"/>
  <c r="AJ87" i="153" s="1"/>
  <c r="AM87" i="153" s="1"/>
  <c r="AP87" i="153" s="1"/>
  <c r="AS87" i="153" s="1"/>
  <c r="AV87" i="153" s="1"/>
  <c r="AY87" i="153" s="1"/>
  <c r="BB87" i="153" s="1"/>
  <c r="BE87" i="153" s="1"/>
  <c r="BH87" i="153" s="1"/>
  <c r="BK87" i="153" s="1"/>
  <c r="BN87" i="153" s="1"/>
  <c r="BQ87" i="153" s="1"/>
  <c r="BT87" i="153" s="1"/>
  <c r="BW87" i="153" s="1"/>
  <c r="BZ87" i="153" s="1"/>
  <c r="CC87" i="153" s="1"/>
  <c r="CF87" i="153" s="1"/>
  <c r="CI87" i="153" s="1"/>
  <c r="CL87" i="153" s="1"/>
  <c r="CO87" i="153" s="1"/>
  <c r="CR87" i="153" s="1"/>
  <c r="CU87" i="153" s="1"/>
  <c r="CW86" i="153"/>
  <c r="CV86" i="153"/>
  <c r="I86" i="153"/>
  <c r="L86" i="153" s="1"/>
  <c r="O86" i="153" s="1"/>
  <c r="R86" i="153" s="1"/>
  <c r="U86" i="153" s="1"/>
  <c r="X86" i="153" s="1"/>
  <c r="AA86" i="153" s="1"/>
  <c r="AD86" i="153" s="1"/>
  <c r="AG86" i="153" s="1"/>
  <c r="AJ86" i="153" s="1"/>
  <c r="AM86" i="153" s="1"/>
  <c r="AP86" i="153" s="1"/>
  <c r="AS86" i="153" s="1"/>
  <c r="AV86" i="153" s="1"/>
  <c r="AY86" i="153" s="1"/>
  <c r="BB86" i="153" s="1"/>
  <c r="BE86" i="153" s="1"/>
  <c r="BH86" i="153" s="1"/>
  <c r="BK86" i="153" s="1"/>
  <c r="BN86" i="153" s="1"/>
  <c r="BQ86" i="153" s="1"/>
  <c r="BT86" i="153" s="1"/>
  <c r="BW86" i="153" s="1"/>
  <c r="BZ86" i="153" s="1"/>
  <c r="CC86" i="153" s="1"/>
  <c r="CF86" i="153" s="1"/>
  <c r="CI86" i="153" s="1"/>
  <c r="CL86" i="153" s="1"/>
  <c r="CO86" i="153" s="1"/>
  <c r="CR86" i="153" s="1"/>
  <c r="CU86" i="153" s="1"/>
  <c r="CW85" i="153"/>
  <c r="CV85" i="153"/>
  <c r="I85" i="153"/>
  <c r="L85" i="153" s="1"/>
  <c r="O85" i="153" s="1"/>
  <c r="R85" i="153" s="1"/>
  <c r="U85" i="153" s="1"/>
  <c r="X85" i="153" s="1"/>
  <c r="AA85" i="153" s="1"/>
  <c r="AD85" i="153" s="1"/>
  <c r="AG85" i="153" s="1"/>
  <c r="AJ85" i="153" s="1"/>
  <c r="AM85" i="153" s="1"/>
  <c r="AP85" i="153" s="1"/>
  <c r="AS85" i="153" s="1"/>
  <c r="AV85" i="153" s="1"/>
  <c r="AY85" i="153" s="1"/>
  <c r="BB85" i="153" s="1"/>
  <c r="BE85" i="153" s="1"/>
  <c r="BH85" i="153" s="1"/>
  <c r="BK85" i="153" s="1"/>
  <c r="BN85" i="153" s="1"/>
  <c r="BQ85" i="153" s="1"/>
  <c r="BT85" i="153" s="1"/>
  <c r="BW85" i="153" s="1"/>
  <c r="BZ85" i="153" s="1"/>
  <c r="CC85" i="153" s="1"/>
  <c r="CF85" i="153" s="1"/>
  <c r="CI85" i="153" s="1"/>
  <c r="CL85" i="153" s="1"/>
  <c r="CO85" i="153" s="1"/>
  <c r="CR85" i="153" s="1"/>
  <c r="CU85" i="153" s="1"/>
  <c r="CW84" i="153"/>
  <c r="CV84" i="153"/>
  <c r="I84" i="153"/>
  <c r="L84" i="153" s="1"/>
  <c r="O84" i="153" s="1"/>
  <c r="R84" i="153" s="1"/>
  <c r="U84" i="153" s="1"/>
  <c r="X84" i="153" s="1"/>
  <c r="AA84" i="153" s="1"/>
  <c r="AD84" i="153" s="1"/>
  <c r="AG84" i="153" s="1"/>
  <c r="AJ84" i="153" s="1"/>
  <c r="AM84" i="153" s="1"/>
  <c r="AP84" i="153" s="1"/>
  <c r="AS84" i="153" s="1"/>
  <c r="AV84" i="153" s="1"/>
  <c r="AY84" i="153" s="1"/>
  <c r="BB84" i="153" s="1"/>
  <c r="BE84" i="153" s="1"/>
  <c r="BH84" i="153" s="1"/>
  <c r="BK84" i="153" s="1"/>
  <c r="BN84" i="153" s="1"/>
  <c r="BQ84" i="153" s="1"/>
  <c r="BT84" i="153" s="1"/>
  <c r="BW84" i="153" s="1"/>
  <c r="BZ84" i="153" s="1"/>
  <c r="CC84" i="153" s="1"/>
  <c r="CF84" i="153" s="1"/>
  <c r="CI84" i="153" s="1"/>
  <c r="CL84" i="153" s="1"/>
  <c r="CO84" i="153" s="1"/>
  <c r="CR84" i="153" s="1"/>
  <c r="CU84" i="153" s="1"/>
  <c r="CV83" i="153"/>
  <c r="CW83" i="153"/>
  <c r="I83" i="153"/>
  <c r="CV82" i="153"/>
  <c r="CV81" i="153"/>
  <c r="CW81" i="153"/>
  <c r="I81" i="153"/>
  <c r="L81" i="153" s="1"/>
  <c r="O81" i="153" s="1"/>
  <c r="R81" i="153" s="1"/>
  <c r="U81" i="153" s="1"/>
  <c r="X81" i="153" s="1"/>
  <c r="AA81" i="153" s="1"/>
  <c r="AD81" i="153" s="1"/>
  <c r="AG81" i="153" s="1"/>
  <c r="AJ81" i="153" s="1"/>
  <c r="AM81" i="153" s="1"/>
  <c r="AP81" i="153" s="1"/>
  <c r="AS81" i="153" s="1"/>
  <c r="AV81" i="153" s="1"/>
  <c r="AY81" i="153" s="1"/>
  <c r="BB81" i="153" s="1"/>
  <c r="BE81" i="153" s="1"/>
  <c r="BH81" i="153" s="1"/>
  <c r="BK81" i="153" s="1"/>
  <c r="BN81" i="153" s="1"/>
  <c r="BQ81" i="153" s="1"/>
  <c r="BT81" i="153" s="1"/>
  <c r="BW81" i="153" s="1"/>
  <c r="BZ81" i="153" s="1"/>
  <c r="CC81" i="153" s="1"/>
  <c r="CF81" i="153" s="1"/>
  <c r="CI81" i="153" s="1"/>
  <c r="CL81" i="153" s="1"/>
  <c r="CO81" i="153" s="1"/>
  <c r="CR81" i="153" s="1"/>
  <c r="CU81" i="153" s="1"/>
  <c r="CV80" i="153"/>
  <c r="CW80" i="153"/>
  <c r="I80" i="153"/>
  <c r="L80" i="153" s="1"/>
  <c r="O80" i="153" s="1"/>
  <c r="R80" i="153" s="1"/>
  <c r="U80" i="153" s="1"/>
  <c r="X80" i="153" s="1"/>
  <c r="AA80" i="153" s="1"/>
  <c r="AD80" i="153" s="1"/>
  <c r="AG80" i="153" s="1"/>
  <c r="AJ80" i="153" s="1"/>
  <c r="AM80" i="153" s="1"/>
  <c r="AP80" i="153" s="1"/>
  <c r="AS80" i="153" s="1"/>
  <c r="AV80" i="153" s="1"/>
  <c r="AY80" i="153" s="1"/>
  <c r="BB80" i="153" s="1"/>
  <c r="BE80" i="153" s="1"/>
  <c r="BH80" i="153" s="1"/>
  <c r="BK80" i="153" s="1"/>
  <c r="BN80" i="153" s="1"/>
  <c r="BQ80" i="153" s="1"/>
  <c r="BT80" i="153" s="1"/>
  <c r="BW80" i="153" s="1"/>
  <c r="BZ80" i="153" s="1"/>
  <c r="CC80" i="153" s="1"/>
  <c r="CF80" i="153" s="1"/>
  <c r="CI80" i="153" s="1"/>
  <c r="CL80" i="153" s="1"/>
  <c r="CO80" i="153" s="1"/>
  <c r="CR80" i="153" s="1"/>
  <c r="CU80" i="153" s="1"/>
  <c r="CW79" i="153"/>
  <c r="CV79" i="153"/>
  <c r="I79" i="153"/>
  <c r="L79" i="153" s="1"/>
  <c r="O79" i="153" s="1"/>
  <c r="R79" i="153" s="1"/>
  <c r="U79" i="153" s="1"/>
  <c r="X79" i="153" s="1"/>
  <c r="AA79" i="153" s="1"/>
  <c r="AD79" i="153" s="1"/>
  <c r="AG79" i="153" s="1"/>
  <c r="AJ79" i="153" s="1"/>
  <c r="AM79" i="153" s="1"/>
  <c r="AP79" i="153" s="1"/>
  <c r="AS79" i="153" s="1"/>
  <c r="AV79" i="153" s="1"/>
  <c r="AY79" i="153" s="1"/>
  <c r="BB79" i="153" s="1"/>
  <c r="BE79" i="153" s="1"/>
  <c r="BH79" i="153" s="1"/>
  <c r="BK79" i="153" s="1"/>
  <c r="BN79" i="153" s="1"/>
  <c r="BQ79" i="153" s="1"/>
  <c r="BT79" i="153" s="1"/>
  <c r="BW79" i="153" s="1"/>
  <c r="BZ79" i="153" s="1"/>
  <c r="CC79" i="153" s="1"/>
  <c r="CF79" i="153" s="1"/>
  <c r="CI79" i="153" s="1"/>
  <c r="CL79" i="153" s="1"/>
  <c r="CO79" i="153" s="1"/>
  <c r="CR79" i="153" s="1"/>
  <c r="CU79" i="153" s="1"/>
  <c r="CZ78" i="153"/>
  <c r="CW78" i="153"/>
  <c r="CV78" i="153"/>
  <c r="I78" i="153"/>
  <c r="L78" i="153" s="1"/>
  <c r="O78" i="153" s="1"/>
  <c r="R78" i="153" s="1"/>
  <c r="U78" i="153" s="1"/>
  <c r="X78" i="153" s="1"/>
  <c r="AA78" i="153" s="1"/>
  <c r="AD78" i="153" s="1"/>
  <c r="AG78" i="153" s="1"/>
  <c r="AJ78" i="153" s="1"/>
  <c r="AM78" i="153" s="1"/>
  <c r="AP78" i="153" s="1"/>
  <c r="AS78" i="153" s="1"/>
  <c r="AV78" i="153" s="1"/>
  <c r="AY78" i="153" s="1"/>
  <c r="BB78" i="153" s="1"/>
  <c r="BE78" i="153" s="1"/>
  <c r="BH78" i="153" s="1"/>
  <c r="BK78" i="153" s="1"/>
  <c r="BN78" i="153" s="1"/>
  <c r="BQ78" i="153" s="1"/>
  <c r="BT78" i="153" s="1"/>
  <c r="BW78" i="153" s="1"/>
  <c r="BZ78" i="153" s="1"/>
  <c r="CC78" i="153" s="1"/>
  <c r="CF78" i="153" s="1"/>
  <c r="CI78" i="153" s="1"/>
  <c r="CL78" i="153" s="1"/>
  <c r="CO78" i="153" s="1"/>
  <c r="CR78" i="153" s="1"/>
  <c r="CU78" i="153" s="1"/>
  <c r="DB78" i="153" s="1"/>
  <c r="DE78" i="153" s="1"/>
  <c r="CV77" i="153"/>
  <c r="CW77" i="153"/>
  <c r="I77" i="153"/>
  <c r="L77" i="153" s="1"/>
  <c r="O77" i="153" s="1"/>
  <c r="R77" i="153" s="1"/>
  <c r="U77" i="153" s="1"/>
  <c r="X77" i="153" s="1"/>
  <c r="AA77" i="153" s="1"/>
  <c r="AD77" i="153" s="1"/>
  <c r="AG77" i="153" s="1"/>
  <c r="AJ77" i="153" s="1"/>
  <c r="AM77" i="153" s="1"/>
  <c r="AP77" i="153" s="1"/>
  <c r="AS77" i="153" s="1"/>
  <c r="AV77" i="153" s="1"/>
  <c r="AY77" i="153" s="1"/>
  <c r="BB77" i="153" s="1"/>
  <c r="BE77" i="153" s="1"/>
  <c r="BH77" i="153" s="1"/>
  <c r="BK77" i="153" s="1"/>
  <c r="BN77" i="153" s="1"/>
  <c r="BQ77" i="153" s="1"/>
  <c r="BT77" i="153" s="1"/>
  <c r="BW77" i="153" s="1"/>
  <c r="BZ77" i="153" s="1"/>
  <c r="CC77" i="153" s="1"/>
  <c r="CF77" i="153" s="1"/>
  <c r="CI77" i="153" s="1"/>
  <c r="CL77" i="153" s="1"/>
  <c r="CO77" i="153" s="1"/>
  <c r="CR77" i="153" s="1"/>
  <c r="CU77" i="153" s="1"/>
  <c r="CW76" i="153"/>
  <c r="CV76" i="153"/>
  <c r="CW75" i="153"/>
  <c r="CV75" i="153"/>
  <c r="I75" i="153"/>
  <c r="CW74" i="153"/>
  <c r="CV74" i="153"/>
  <c r="I74" i="153"/>
  <c r="L74" i="153" s="1"/>
  <c r="O74" i="153" s="1"/>
  <c r="R74" i="153" s="1"/>
  <c r="U74" i="153" s="1"/>
  <c r="X74" i="153" s="1"/>
  <c r="AA74" i="153" s="1"/>
  <c r="AD74" i="153" s="1"/>
  <c r="AG74" i="153" s="1"/>
  <c r="AJ74" i="153" s="1"/>
  <c r="AM74" i="153" s="1"/>
  <c r="AP74" i="153" s="1"/>
  <c r="AS74" i="153" s="1"/>
  <c r="AV74" i="153" s="1"/>
  <c r="AY74" i="153" s="1"/>
  <c r="BB74" i="153" s="1"/>
  <c r="BE74" i="153" s="1"/>
  <c r="BH74" i="153" s="1"/>
  <c r="BK74" i="153" s="1"/>
  <c r="BN74" i="153" s="1"/>
  <c r="BQ74" i="153" s="1"/>
  <c r="BT74" i="153" s="1"/>
  <c r="BW74" i="153" s="1"/>
  <c r="BZ74" i="153" s="1"/>
  <c r="CC74" i="153" s="1"/>
  <c r="CF74" i="153" s="1"/>
  <c r="CI74" i="153" s="1"/>
  <c r="CL74" i="153" s="1"/>
  <c r="CO74" i="153" s="1"/>
  <c r="CR74" i="153" s="1"/>
  <c r="CU74" i="153" s="1"/>
  <c r="CW73" i="153"/>
  <c r="CV73" i="153"/>
  <c r="I73" i="153"/>
  <c r="L73" i="153" s="1"/>
  <c r="O73" i="153" s="1"/>
  <c r="R73" i="153" s="1"/>
  <c r="U73" i="153" s="1"/>
  <c r="X73" i="153" s="1"/>
  <c r="AA73" i="153" s="1"/>
  <c r="AD73" i="153" s="1"/>
  <c r="AG73" i="153" s="1"/>
  <c r="AJ73" i="153" s="1"/>
  <c r="AM73" i="153" s="1"/>
  <c r="AP73" i="153" s="1"/>
  <c r="AS73" i="153" s="1"/>
  <c r="AV73" i="153" s="1"/>
  <c r="AY73" i="153" s="1"/>
  <c r="BB73" i="153" s="1"/>
  <c r="BE73" i="153" s="1"/>
  <c r="BH73" i="153" s="1"/>
  <c r="BK73" i="153" s="1"/>
  <c r="BN73" i="153" s="1"/>
  <c r="BQ73" i="153" s="1"/>
  <c r="BT73" i="153" s="1"/>
  <c r="BW73" i="153" s="1"/>
  <c r="BZ73" i="153" s="1"/>
  <c r="CC73" i="153" s="1"/>
  <c r="CF73" i="153" s="1"/>
  <c r="CI73" i="153" s="1"/>
  <c r="CL73" i="153" s="1"/>
  <c r="CO73" i="153" s="1"/>
  <c r="CR73" i="153" s="1"/>
  <c r="CU73" i="153" s="1"/>
  <c r="CW72" i="153"/>
  <c r="CV72" i="153"/>
  <c r="I72" i="153"/>
  <c r="L72" i="153" s="1"/>
  <c r="O72" i="153" s="1"/>
  <c r="R72" i="153" s="1"/>
  <c r="U72" i="153" s="1"/>
  <c r="X72" i="153" s="1"/>
  <c r="AA72" i="153" s="1"/>
  <c r="AD72" i="153" s="1"/>
  <c r="AG72" i="153" s="1"/>
  <c r="AJ72" i="153" s="1"/>
  <c r="AM72" i="153" s="1"/>
  <c r="AP72" i="153" s="1"/>
  <c r="AS72" i="153" s="1"/>
  <c r="AV72" i="153" s="1"/>
  <c r="AY72" i="153" s="1"/>
  <c r="BB72" i="153" s="1"/>
  <c r="BE72" i="153" s="1"/>
  <c r="BH72" i="153" s="1"/>
  <c r="BK72" i="153" s="1"/>
  <c r="BN72" i="153" s="1"/>
  <c r="BQ72" i="153" s="1"/>
  <c r="BT72" i="153" s="1"/>
  <c r="BW72" i="153" s="1"/>
  <c r="BZ72" i="153" s="1"/>
  <c r="CC72" i="153" s="1"/>
  <c r="CF72" i="153" s="1"/>
  <c r="CI72" i="153" s="1"/>
  <c r="CL72" i="153" s="1"/>
  <c r="CO72" i="153" s="1"/>
  <c r="CR72" i="153" s="1"/>
  <c r="CU72" i="153" s="1"/>
  <c r="CW71" i="153"/>
  <c r="CV71" i="153"/>
  <c r="I71" i="153"/>
  <c r="L71" i="153" s="1"/>
  <c r="O71" i="153" s="1"/>
  <c r="R71" i="153" s="1"/>
  <c r="U71" i="153" s="1"/>
  <c r="X71" i="153" s="1"/>
  <c r="AA71" i="153" s="1"/>
  <c r="AD71" i="153" s="1"/>
  <c r="AG71" i="153" s="1"/>
  <c r="AJ71" i="153" s="1"/>
  <c r="AM71" i="153" s="1"/>
  <c r="AP71" i="153" s="1"/>
  <c r="AS71" i="153" s="1"/>
  <c r="AV71" i="153" s="1"/>
  <c r="AY71" i="153" s="1"/>
  <c r="BB71" i="153" s="1"/>
  <c r="BE71" i="153" s="1"/>
  <c r="BH71" i="153" s="1"/>
  <c r="BK71" i="153" s="1"/>
  <c r="BN71" i="153" s="1"/>
  <c r="BQ71" i="153" s="1"/>
  <c r="BT71" i="153" s="1"/>
  <c r="BW71" i="153" s="1"/>
  <c r="BZ71" i="153" s="1"/>
  <c r="CC71" i="153" s="1"/>
  <c r="CF71" i="153" s="1"/>
  <c r="CI71" i="153" s="1"/>
  <c r="CL71" i="153" s="1"/>
  <c r="CO71" i="153" s="1"/>
  <c r="CR71" i="153" s="1"/>
  <c r="CU71" i="153" s="1"/>
  <c r="CW70" i="153"/>
  <c r="CV70" i="153"/>
  <c r="I70" i="153"/>
  <c r="L70" i="153" s="1"/>
  <c r="O70" i="153" s="1"/>
  <c r="R70" i="153" s="1"/>
  <c r="U70" i="153" s="1"/>
  <c r="X70" i="153" s="1"/>
  <c r="AA70" i="153" s="1"/>
  <c r="AD70" i="153" s="1"/>
  <c r="AG70" i="153" s="1"/>
  <c r="AJ70" i="153" s="1"/>
  <c r="AM70" i="153" s="1"/>
  <c r="AP70" i="153" s="1"/>
  <c r="AS70" i="153" s="1"/>
  <c r="AV70" i="153" s="1"/>
  <c r="AY70" i="153" s="1"/>
  <c r="BB70" i="153" s="1"/>
  <c r="BE70" i="153" s="1"/>
  <c r="BH70" i="153" s="1"/>
  <c r="BK70" i="153" s="1"/>
  <c r="BN70" i="153" s="1"/>
  <c r="BQ70" i="153" s="1"/>
  <c r="BT70" i="153" s="1"/>
  <c r="BW70" i="153" s="1"/>
  <c r="BZ70" i="153" s="1"/>
  <c r="CC70" i="153" s="1"/>
  <c r="CF70" i="153" s="1"/>
  <c r="CI70" i="153" s="1"/>
  <c r="CL70" i="153" s="1"/>
  <c r="CO70" i="153" s="1"/>
  <c r="CR70" i="153" s="1"/>
  <c r="CU70" i="153" s="1"/>
  <c r="CW69" i="153"/>
  <c r="CV69" i="153"/>
  <c r="I69" i="153"/>
  <c r="L69" i="153" s="1"/>
  <c r="O69" i="153" s="1"/>
  <c r="R69" i="153" s="1"/>
  <c r="U69" i="153" s="1"/>
  <c r="X69" i="153" s="1"/>
  <c r="AA69" i="153" s="1"/>
  <c r="AD69" i="153" s="1"/>
  <c r="AG69" i="153" s="1"/>
  <c r="AJ69" i="153" s="1"/>
  <c r="AM69" i="153" s="1"/>
  <c r="AP69" i="153" s="1"/>
  <c r="AS69" i="153" s="1"/>
  <c r="AV69" i="153" s="1"/>
  <c r="AY69" i="153" s="1"/>
  <c r="BB69" i="153" s="1"/>
  <c r="BE69" i="153" s="1"/>
  <c r="BH69" i="153" s="1"/>
  <c r="BK69" i="153" s="1"/>
  <c r="BN69" i="153" s="1"/>
  <c r="BQ69" i="153" s="1"/>
  <c r="BT69" i="153" s="1"/>
  <c r="BW69" i="153" s="1"/>
  <c r="BZ69" i="153" s="1"/>
  <c r="CC69" i="153" s="1"/>
  <c r="CF69" i="153" s="1"/>
  <c r="CI69" i="153" s="1"/>
  <c r="CL69" i="153" s="1"/>
  <c r="CO69" i="153" s="1"/>
  <c r="CR69" i="153" s="1"/>
  <c r="CU69" i="153" s="1"/>
  <c r="CW68" i="153"/>
  <c r="CV68" i="153"/>
  <c r="I68" i="153"/>
  <c r="L68" i="153" s="1"/>
  <c r="O68" i="153" s="1"/>
  <c r="R68" i="153" s="1"/>
  <c r="U68" i="153" s="1"/>
  <c r="X68" i="153" s="1"/>
  <c r="AA68" i="153" s="1"/>
  <c r="AD68" i="153" s="1"/>
  <c r="AG68" i="153" s="1"/>
  <c r="AJ68" i="153" s="1"/>
  <c r="AM68" i="153" s="1"/>
  <c r="AP68" i="153" s="1"/>
  <c r="AS68" i="153" s="1"/>
  <c r="AV68" i="153" s="1"/>
  <c r="AY68" i="153" s="1"/>
  <c r="BB68" i="153" s="1"/>
  <c r="BE68" i="153" s="1"/>
  <c r="BH68" i="153" s="1"/>
  <c r="BK68" i="153" s="1"/>
  <c r="BN68" i="153" s="1"/>
  <c r="BQ68" i="153" s="1"/>
  <c r="BT68" i="153" s="1"/>
  <c r="BW68" i="153" s="1"/>
  <c r="BZ68" i="153" s="1"/>
  <c r="CC68" i="153" s="1"/>
  <c r="CF68" i="153" s="1"/>
  <c r="CI68" i="153" s="1"/>
  <c r="CL68" i="153" s="1"/>
  <c r="CO68" i="153" s="1"/>
  <c r="CR68" i="153" s="1"/>
  <c r="CU68" i="153" s="1"/>
  <c r="CW67" i="153"/>
  <c r="CV67" i="153"/>
  <c r="I67" i="153"/>
  <c r="L67" i="153" s="1"/>
  <c r="O67" i="153" s="1"/>
  <c r="R67" i="153" s="1"/>
  <c r="U67" i="153" s="1"/>
  <c r="X67" i="153" s="1"/>
  <c r="AA67" i="153" s="1"/>
  <c r="AD67" i="153" s="1"/>
  <c r="AG67" i="153" s="1"/>
  <c r="AJ67" i="153" s="1"/>
  <c r="AM67" i="153" s="1"/>
  <c r="AP67" i="153" s="1"/>
  <c r="AS67" i="153" s="1"/>
  <c r="AV67" i="153" s="1"/>
  <c r="AY67" i="153" s="1"/>
  <c r="BB67" i="153" s="1"/>
  <c r="BE67" i="153" s="1"/>
  <c r="BH67" i="153" s="1"/>
  <c r="BK67" i="153" s="1"/>
  <c r="BN67" i="153" s="1"/>
  <c r="BQ67" i="153" s="1"/>
  <c r="BT67" i="153" s="1"/>
  <c r="BW67" i="153" s="1"/>
  <c r="BZ67" i="153" s="1"/>
  <c r="CC67" i="153" s="1"/>
  <c r="CF67" i="153" s="1"/>
  <c r="CI67" i="153" s="1"/>
  <c r="CL67" i="153" s="1"/>
  <c r="CO67" i="153" s="1"/>
  <c r="CR67" i="153" s="1"/>
  <c r="CU67" i="153" s="1"/>
  <c r="CW66" i="153"/>
  <c r="CV66" i="153"/>
  <c r="I66" i="153"/>
  <c r="L66" i="153" s="1"/>
  <c r="O66" i="153" s="1"/>
  <c r="R66" i="153" s="1"/>
  <c r="U66" i="153" s="1"/>
  <c r="X66" i="153" s="1"/>
  <c r="AA66" i="153" s="1"/>
  <c r="AD66" i="153" s="1"/>
  <c r="AG66" i="153" s="1"/>
  <c r="AJ66" i="153" s="1"/>
  <c r="AM66" i="153" s="1"/>
  <c r="AP66" i="153" s="1"/>
  <c r="AS66" i="153" s="1"/>
  <c r="AV66" i="153" s="1"/>
  <c r="AY66" i="153" s="1"/>
  <c r="BB66" i="153" s="1"/>
  <c r="BE66" i="153" s="1"/>
  <c r="BH66" i="153" s="1"/>
  <c r="BK66" i="153" s="1"/>
  <c r="BN66" i="153" s="1"/>
  <c r="BQ66" i="153" s="1"/>
  <c r="BT66" i="153" s="1"/>
  <c r="BW66" i="153" s="1"/>
  <c r="BZ66" i="153" s="1"/>
  <c r="CC66" i="153" s="1"/>
  <c r="CF66" i="153" s="1"/>
  <c r="CI66" i="153" s="1"/>
  <c r="CL66" i="153" s="1"/>
  <c r="CO66" i="153" s="1"/>
  <c r="CR66" i="153" s="1"/>
  <c r="CU66" i="153" s="1"/>
  <c r="CW65" i="153"/>
  <c r="I65" i="153"/>
  <c r="L65" i="153" s="1"/>
  <c r="O65" i="153" s="1"/>
  <c r="R65" i="153" s="1"/>
  <c r="U65" i="153" s="1"/>
  <c r="X65" i="153" s="1"/>
  <c r="AA65" i="153" s="1"/>
  <c r="AD65" i="153" s="1"/>
  <c r="AG65" i="153" s="1"/>
  <c r="AJ65" i="153" s="1"/>
  <c r="AM65" i="153" s="1"/>
  <c r="AP65" i="153" s="1"/>
  <c r="AS65" i="153" s="1"/>
  <c r="AV65" i="153" s="1"/>
  <c r="AY65" i="153" s="1"/>
  <c r="BB65" i="153" s="1"/>
  <c r="BE65" i="153" s="1"/>
  <c r="BH65" i="153" s="1"/>
  <c r="BK65" i="153" s="1"/>
  <c r="BN65" i="153" s="1"/>
  <c r="BQ65" i="153" s="1"/>
  <c r="BT65" i="153" s="1"/>
  <c r="BW65" i="153" s="1"/>
  <c r="BZ65" i="153" s="1"/>
  <c r="CC65" i="153" s="1"/>
  <c r="CF65" i="153" s="1"/>
  <c r="CI65" i="153" s="1"/>
  <c r="CL65" i="153" s="1"/>
  <c r="CO65" i="153" s="1"/>
  <c r="CR65" i="153" s="1"/>
  <c r="CU65" i="153" s="1"/>
  <c r="CW64" i="153"/>
  <c r="CV64" i="153"/>
  <c r="I64" i="153"/>
  <c r="L64" i="153" s="1"/>
  <c r="O64" i="153" s="1"/>
  <c r="R64" i="153" s="1"/>
  <c r="U64" i="153" s="1"/>
  <c r="X64" i="153" s="1"/>
  <c r="AA64" i="153" s="1"/>
  <c r="AD64" i="153" s="1"/>
  <c r="AG64" i="153" s="1"/>
  <c r="AJ64" i="153" s="1"/>
  <c r="AM64" i="153" s="1"/>
  <c r="AP64" i="153" s="1"/>
  <c r="AS64" i="153" s="1"/>
  <c r="AV64" i="153" s="1"/>
  <c r="AY64" i="153" s="1"/>
  <c r="BB64" i="153" s="1"/>
  <c r="BE64" i="153" s="1"/>
  <c r="BH64" i="153" s="1"/>
  <c r="BK64" i="153" s="1"/>
  <c r="BN64" i="153" s="1"/>
  <c r="BQ64" i="153" s="1"/>
  <c r="BT64" i="153" s="1"/>
  <c r="BW64" i="153" s="1"/>
  <c r="BZ64" i="153" s="1"/>
  <c r="CC64" i="153" s="1"/>
  <c r="CF64" i="153" s="1"/>
  <c r="CI64" i="153" s="1"/>
  <c r="CL64" i="153" s="1"/>
  <c r="CO64" i="153" s="1"/>
  <c r="CR64" i="153" s="1"/>
  <c r="CU64" i="153" s="1"/>
  <c r="CV63" i="153"/>
  <c r="I63" i="153"/>
  <c r="L63" i="153" s="1"/>
  <c r="CW62" i="153"/>
  <c r="CV62" i="153"/>
  <c r="I62" i="153"/>
  <c r="L62" i="153" s="1"/>
  <c r="O62" i="153" s="1"/>
  <c r="R62" i="153" s="1"/>
  <c r="U62" i="153" s="1"/>
  <c r="X62" i="153" s="1"/>
  <c r="AA62" i="153" s="1"/>
  <c r="AD62" i="153" s="1"/>
  <c r="AG62" i="153" s="1"/>
  <c r="AJ62" i="153" s="1"/>
  <c r="AM62" i="153" s="1"/>
  <c r="AP62" i="153" s="1"/>
  <c r="AS62" i="153" s="1"/>
  <c r="AV62" i="153" s="1"/>
  <c r="AY62" i="153" s="1"/>
  <c r="BB62" i="153" s="1"/>
  <c r="BE62" i="153" s="1"/>
  <c r="BH62" i="153" s="1"/>
  <c r="BK62" i="153" s="1"/>
  <c r="BN62" i="153" s="1"/>
  <c r="BQ62" i="153" s="1"/>
  <c r="BT62" i="153" s="1"/>
  <c r="BW62" i="153" s="1"/>
  <c r="BZ62" i="153" s="1"/>
  <c r="CC62" i="153" s="1"/>
  <c r="CF62" i="153" s="1"/>
  <c r="CI62" i="153" s="1"/>
  <c r="CL62" i="153" s="1"/>
  <c r="CO62" i="153" s="1"/>
  <c r="CR62" i="153" s="1"/>
  <c r="CU62" i="153" s="1"/>
  <c r="CW61" i="153"/>
  <c r="CV61" i="153"/>
  <c r="I61" i="153"/>
  <c r="L61" i="153" s="1"/>
  <c r="O61" i="153" s="1"/>
  <c r="R61" i="153" s="1"/>
  <c r="U61" i="153" s="1"/>
  <c r="X61" i="153" s="1"/>
  <c r="AA61" i="153" s="1"/>
  <c r="AD61" i="153" s="1"/>
  <c r="AG61" i="153" s="1"/>
  <c r="AJ61" i="153" s="1"/>
  <c r="AM61" i="153" s="1"/>
  <c r="AP61" i="153" s="1"/>
  <c r="AS61" i="153" s="1"/>
  <c r="AV61" i="153" s="1"/>
  <c r="AY61" i="153" s="1"/>
  <c r="BB61" i="153" s="1"/>
  <c r="BE61" i="153" s="1"/>
  <c r="BH61" i="153" s="1"/>
  <c r="BK61" i="153" s="1"/>
  <c r="BN61" i="153" s="1"/>
  <c r="BQ61" i="153" s="1"/>
  <c r="BT61" i="153" s="1"/>
  <c r="BW61" i="153" s="1"/>
  <c r="BZ61" i="153" s="1"/>
  <c r="CC61" i="153" s="1"/>
  <c r="CF61" i="153" s="1"/>
  <c r="CI61" i="153" s="1"/>
  <c r="CL61" i="153" s="1"/>
  <c r="CO61" i="153" s="1"/>
  <c r="CR61" i="153" s="1"/>
  <c r="CU61" i="153" s="1"/>
  <c r="CV58" i="153"/>
  <c r="I58" i="153"/>
  <c r="L58" i="153" s="1"/>
  <c r="O58" i="153" s="1"/>
  <c r="R58" i="153" s="1"/>
  <c r="U58" i="153" s="1"/>
  <c r="X58" i="153" s="1"/>
  <c r="AA58" i="153" s="1"/>
  <c r="AD58" i="153" s="1"/>
  <c r="AG58" i="153" s="1"/>
  <c r="AJ58" i="153" s="1"/>
  <c r="AM58" i="153" s="1"/>
  <c r="AP58" i="153" s="1"/>
  <c r="AS58" i="153" s="1"/>
  <c r="AV58" i="153" s="1"/>
  <c r="AY58" i="153" s="1"/>
  <c r="BB58" i="153" s="1"/>
  <c r="BE58" i="153" s="1"/>
  <c r="BH58" i="153" s="1"/>
  <c r="BK58" i="153" s="1"/>
  <c r="BN58" i="153" s="1"/>
  <c r="BQ58" i="153" s="1"/>
  <c r="BT58" i="153" s="1"/>
  <c r="BW58" i="153" s="1"/>
  <c r="BZ58" i="153" s="1"/>
  <c r="CC58" i="153" s="1"/>
  <c r="CF58" i="153" s="1"/>
  <c r="CI58" i="153" s="1"/>
  <c r="CL58" i="153" s="1"/>
  <c r="CO58" i="153" s="1"/>
  <c r="CR58" i="153" s="1"/>
  <c r="CU58" i="153" s="1"/>
  <c r="CW57" i="153"/>
  <c r="CV57" i="153"/>
  <c r="I57" i="153"/>
  <c r="L57" i="153" s="1"/>
  <c r="O57" i="153" s="1"/>
  <c r="R57" i="153" s="1"/>
  <c r="U57" i="153" s="1"/>
  <c r="X57" i="153" s="1"/>
  <c r="AA57" i="153" s="1"/>
  <c r="AD57" i="153" s="1"/>
  <c r="AG57" i="153" s="1"/>
  <c r="AJ57" i="153" s="1"/>
  <c r="AM57" i="153" s="1"/>
  <c r="AP57" i="153" s="1"/>
  <c r="AS57" i="153" s="1"/>
  <c r="AV57" i="153" s="1"/>
  <c r="AY57" i="153" s="1"/>
  <c r="BB57" i="153" s="1"/>
  <c r="BE57" i="153" s="1"/>
  <c r="BH57" i="153" s="1"/>
  <c r="BK57" i="153" s="1"/>
  <c r="BN57" i="153" s="1"/>
  <c r="BQ57" i="153" s="1"/>
  <c r="BT57" i="153" s="1"/>
  <c r="BW57" i="153" s="1"/>
  <c r="BZ57" i="153" s="1"/>
  <c r="CC57" i="153" s="1"/>
  <c r="CF57" i="153" s="1"/>
  <c r="CI57" i="153" s="1"/>
  <c r="CL57" i="153" s="1"/>
  <c r="CO57" i="153" s="1"/>
  <c r="CR57" i="153" s="1"/>
  <c r="CU57" i="153" s="1"/>
  <c r="CW56" i="153"/>
  <c r="CV56" i="153"/>
  <c r="I56" i="153"/>
  <c r="L56" i="153" s="1"/>
  <c r="O56" i="153" s="1"/>
  <c r="R56" i="153" s="1"/>
  <c r="U56" i="153" s="1"/>
  <c r="X56" i="153" s="1"/>
  <c r="AA56" i="153" s="1"/>
  <c r="AD56" i="153" s="1"/>
  <c r="AG56" i="153" s="1"/>
  <c r="AJ56" i="153" s="1"/>
  <c r="AM56" i="153" s="1"/>
  <c r="AP56" i="153" s="1"/>
  <c r="AS56" i="153" s="1"/>
  <c r="AV56" i="153" s="1"/>
  <c r="AY56" i="153" s="1"/>
  <c r="BB56" i="153" s="1"/>
  <c r="BE56" i="153" s="1"/>
  <c r="BH56" i="153" s="1"/>
  <c r="BK56" i="153" s="1"/>
  <c r="BN56" i="153" s="1"/>
  <c r="BQ56" i="153" s="1"/>
  <c r="BT56" i="153" s="1"/>
  <c r="BW56" i="153" s="1"/>
  <c r="BZ56" i="153" s="1"/>
  <c r="CC56" i="153" s="1"/>
  <c r="CF56" i="153" s="1"/>
  <c r="CI56" i="153" s="1"/>
  <c r="CL56" i="153" s="1"/>
  <c r="CO56" i="153" s="1"/>
  <c r="CR56" i="153" s="1"/>
  <c r="CU56" i="153" s="1"/>
  <c r="CW55" i="153"/>
  <c r="CV55" i="153"/>
  <c r="I55" i="153"/>
  <c r="L55" i="153" s="1"/>
  <c r="O55" i="153" s="1"/>
  <c r="R55" i="153" s="1"/>
  <c r="U55" i="153" s="1"/>
  <c r="X55" i="153" s="1"/>
  <c r="AA55" i="153" s="1"/>
  <c r="AD55" i="153" s="1"/>
  <c r="AG55" i="153" s="1"/>
  <c r="AJ55" i="153" s="1"/>
  <c r="AM55" i="153" s="1"/>
  <c r="AP55" i="153" s="1"/>
  <c r="AS55" i="153" s="1"/>
  <c r="AV55" i="153" s="1"/>
  <c r="AY55" i="153" s="1"/>
  <c r="BB55" i="153" s="1"/>
  <c r="BE55" i="153" s="1"/>
  <c r="BH55" i="153" s="1"/>
  <c r="BK55" i="153" s="1"/>
  <c r="BN55" i="153" s="1"/>
  <c r="BQ55" i="153" s="1"/>
  <c r="BT55" i="153" s="1"/>
  <c r="BW55" i="153" s="1"/>
  <c r="BZ55" i="153" s="1"/>
  <c r="CC55" i="153" s="1"/>
  <c r="CF55" i="153" s="1"/>
  <c r="CI55" i="153" s="1"/>
  <c r="CL55" i="153" s="1"/>
  <c r="CO55" i="153" s="1"/>
  <c r="CR55" i="153" s="1"/>
  <c r="CU55" i="153" s="1"/>
  <c r="CW54" i="153"/>
  <c r="CV54" i="153"/>
  <c r="I54" i="153"/>
  <c r="L54" i="153" s="1"/>
  <c r="O54" i="153" s="1"/>
  <c r="R54" i="153" s="1"/>
  <c r="U54" i="153" s="1"/>
  <c r="X54" i="153" s="1"/>
  <c r="AA54" i="153" s="1"/>
  <c r="AD54" i="153" s="1"/>
  <c r="AG54" i="153" s="1"/>
  <c r="AJ54" i="153" s="1"/>
  <c r="AM54" i="153" s="1"/>
  <c r="AP54" i="153" s="1"/>
  <c r="AS54" i="153" s="1"/>
  <c r="AV54" i="153" s="1"/>
  <c r="AY54" i="153" s="1"/>
  <c r="BB54" i="153" s="1"/>
  <c r="BE54" i="153" s="1"/>
  <c r="BH54" i="153" s="1"/>
  <c r="BK54" i="153" s="1"/>
  <c r="BN54" i="153" s="1"/>
  <c r="BQ54" i="153" s="1"/>
  <c r="BT54" i="153" s="1"/>
  <c r="BW54" i="153" s="1"/>
  <c r="BZ54" i="153" s="1"/>
  <c r="CC54" i="153" s="1"/>
  <c r="CF54" i="153" s="1"/>
  <c r="CI54" i="153" s="1"/>
  <c r="CL54" i="153" s="1"/>
  <c r="CO54" i="153" s="1"/>
  <c r="CR54" i="153" s="1"/>
  <c r="CU54" i="153" s="1"/>
  <c r="CV53" i="153"/>
  <c r="CW52" i="153"/>
  <c r="CV52" i="153"/>
  <c r="I52" i="153"/>
  <c r="L52" i="153" s="1"/>
  <c r="O52" i="153" s="1"/>
  <c r="R52" i="153" s="1"/>
  <c r="U52" i="153" s="1"/>
  <c r="X52" i="153" s="1"/>
  <c r="AA52" i="153" s="1"/>
  <c r="AD52" i="153" s="1"/>
  <c r="AG52" i="153" s="1"/>
  <c r="AJ52" i="153" s="1"/>
  <c r="AM52" i="153" s="1"/>
  <c r="AP52" i="153" s="1"/>
  <c r="AS52" i="153" s="1"/>
  <c r="AV52" i="153" s="1"/>
  <c r="AY52" i="153" s="1"/>
  <c r="BB52" i="153" s="1"/>
  <c r="BE52" i="153" s="1"/>
  <c r="BH52" i="153" s="1"/>
  <c r="BK52" i="153" s="1"/>
  <c r="BN52" i="153" s="1"/>
  <c r="BQ52" i="153" s="1"/>
  <c r="BT52" i="153" s="1"/>
  <c r="BW52" i="153" s="1"/>
  <c r="BZ52" i="153" s="1"/>
  <c r="CC52" i="153" s="1"/>
  <c r="CF52" i="153" s="1"/>
  <c r="CI52" i="153" s="1"/>
  <c r="CL52" i="153" s="1"/>
  <c r="CO52" i="153" s="1"/>
  <c r="CR52" i="153" s="1"/>
  <c r="CU52" i="153" s="1"/>
  <c r="CW51" i="153"/>
  <c r="CV51" i="153"/>
  <c r="I51" i="153"/>
  <c r="L51" i="153" s="1"/>
  <c r="O51" i="153" s="1"/>
  <c r="R51" i="153" s="1"/>
  <c r="U51" i="153" s="1"/>
  <c r="X51" i="153" s="1"/>
  <c r="AA51" i="153" s="1"/>
  <c r="AD51" i="153" s="1"/>
  <c r="AG51" i="153" s="1"/>
  <c r="AJ51" i="153" s="1"/>
  <c r="AM51" i="153" s="1"/>
  <c r="AP51" i="153" s="1"/>
  <c r="AS51" i="153" s="1"/>
  <c r="AV51" i="153" s="1"/>
  <c r="AY51" i="153" s="1"/>
  <c r="BB51" i="153" s="1"/>
  <c r="BE51" i="153" s="1"/>
  <c r="BH51" i="153" s="1"/>
  <c r="BK51" i="153" s="1"/>
  <c r="BN51" i="153" s="1"/>
  <c r="BQ51" i="153" s="1"/>
  <c r="BT51" i="153" s="1"/>
  <c r="BW51" i="153" s="1"/>
  <c r="BZ51" i="153" s="1"/>
  <c r="CC51" i="153" s="1"/>
  <c r="CF51" i="153" s="1"/>
  <c r="CI51" i="153" s="1"/>
  <c r="CL51" i="153" s="1"/>
  <c r="CO51" i="153" s="1"/>
  <c r="CR51" i="153" s="1"/>
  <c r="CU51" i="153" s="1"/>
  <c r="CW50" i="153"/>
  <c r="CV50" i="153"/>
  <c r="I50" i="153"/>
  <c r="L50" i="153" s="1"/>
  <c r="O50" i="153" s="1"/>
  <c r="R50" i="153" s="1"/>
  <c r="U50" i="153" s="1"/>
  <c r="X50" i="153" s="1"/>
  <c r="AA50" i="153" s="1"/>
  <c r="AD50" i="153" s="1"/>
  <c r="AG50" i="153" s="1"/>
  <c r="AJ50" i="153" s="1"/>
  <c r="AM50" i="153" s="1"/>
  <c r="AP50" i="153" s="1"/>
  <c r="AS50" i="153" s="1"/>
  <c r="AV50" i="153" s="1"/>
  <c r="AY50" i="153" s="1"/>
  <c r="BB50" i="153" s="1"/>
  <c r="BE50" i="153" s="1"/>
  <c r="BH50" i="153" s="1"/>
  <c r="BK50" i="153" s="1"/>
  <c r="BN50" i="153" s="1"/>
  <c r="BQ50" i="153" s="1"/>
  <c r="BT50" i="153" s="1"/>
  <c r="BW50" i="153" s="1"/>
  <c r="BZ50" i="153" s="1"/>
  <c r="CC50" i="153" s="1"/>
  <c r="CF50" i="153" s="1"/>
  <c r="CI50" i="153" s="1"/>
  <c r="CL50" i="153" s="1"/>
  <c r="CO50" i="153" s="1"/>
  <c r="CR50" i="153" s="1"/>
  <c r="CU50" i="153" s="1"/>
  <c r="CW49" i="153"/>
  <c r="CV49" i="153"/>
  <c r="I49" i="153"/>
  <c r="L49" i="153" s="1"/>
  <c r="O49" i="153" s="1"/>
  <c r="R49" i="153" s="1"/>
  <c r="U49" i="153" s="1"/>
  <c r="X49" i="153" s="1"/>
  <c r="AA49" i="153" s="1"/>
  <c r="AD49" i="153" s="1"/>
  <c r="AG49" i="153" s="1"/>
  <c r="AJ49" i="153" s="1"/>
  <c r="AM49" i="153" s="1"/>
  <c r="AP49" i="153" s="1"/>
  <c r="AS49" i="153" s="1"/>
  <c r="AV49" i="153" s="1"/>
  <c r="AY49" i="153" s="1"/>
  <c r="BB49" i="153" s="1"/>
  <c r="BE49" i="153" s="1"/>
  <c r="BH49" i="153" s="1"/>
  <c r="BK49" i="153" s="1"/>
  <c r="BN49" i="153" s="1"/>
  <c r="BQ49" i="153" s="1"/>
  <c r="BT49" i="153" s="1"/>
  <c r="BW49" i="153" s="1"/>
  <c r="BZ49" i="153" s="1"/>
  <c r="CC49" i="153" s="1"/>
  <c r="CF49" i="153" s="1"/>
  <c r="CI49" i="153" s="1"/>
  <c r="CL49" i="153" s="1"/>
  <c r="CO49" i="153" s="1"/>
  <c r="CR49" i="153" s="1"/>
  <c r="CU49" i="153" s="1"/>
  <c r="CV48" i="153"/>
  <c r="I48" i="153"/>
  <c r="L48" i="153" s="1"/>
  <c r="CW47" i="153"/>
  <c r="CV47" i="153"/>
  <c r="I47" i="153"/>
  <c r="L47" i="153" s="1"/>
  <c r="O47" i="153" s="1"/>
  <c r="R47" i="153" s="1"/>
  <c r="U47" i="153" s="1"/>
  <c r="X47" i="153" s="1"/>
  <c r="AA47" i="153" s="1"/>
  <c r="AD47" i="153" s="1"/>
  <c r="AG47" i="153" s="1"/>
  <c r="AJ47" i="153" s="1"/>
  <c r="AM47" i="153" s="1"/>
  <c r="AP47" i="153" s="1"/>
  <c r="AS47" i="153" s="1"/>
  <c r="AV47" i="153" s="1"/>
  <c r="AY47" i="153" s="1"/>
  <c r="BB47" i="153" s="1"/>
  <c r="BE47" i="153" s="1"/>
  <c r="BH47" i="153" s="1"/>
  <c r="BK47" i="153" s="1"/>
  <c r="BN47" i="153" s="1"/>
  <c r="BQ47" i="153" s="1"/>
  <c r="BT47" i="153" s="1"/>
  <c r="BW47" i="153" s="1"/>
  <c r="BZ47" i="153" s="1"/>
  <c r="CC47" i="153" s="1"/>
  <c r="CF47" i="153" s="1"/>
  <c r="CI47" i="153" s="1"/>
  <c r="CL47" i="153" s="1"/>
  <c r="CO47" i="153" s="1"/>
  <c r="CR47" i="153" s="1"/>
  <c r="CU47" i="153" s="1"/>
  <c r="CW46" i="153"/>
  <c r="CV46" i="153"/>
  <c r="I46" i="153"/>
  <c r="L46" i="153" s="1"/>
  <c r="O46" i="153" s="1"/>
  <c r="R46" i="153" s="1"/>
  <c r="U46" i="153" s="1"/>
  <c r="X46" i="153" s="1"/>
  <c r="AA46" i="153" s="1"/>
  <c r="AD46" i="153" s="1"/>
  <c r="AG46" i="153" s="1"/>
  <c r="AJ46" i="153" s="1"/>
  <c r="AM46" i="153" s="1"/>
  <c r="AP46" i="153" s="1"/>
  <c r="AS46" i="153" s="1"/>
  <c r="AV46" i="153" s="1"/>
  <c r="AY46" i="153" s="1"/>
  <c r="BB46" i="153" s="1"/>
  <c r="BE46" i="153" s="1"/>
  <c r="BH46" i="153" s="1"/>
  <c r="BK46" i="153" s="1"/>
  <c r="BN46" i="153" s="1"/>
  <c r="BQ46" i="153" s="1"/>
  <c r="BT46" i="153" s="1"/>
  <c r="BW46" i="153" s="1"/>
  <c r="BZ46" i="153" s="1"/>
  <c r="CC46" i="153" s="1"/>
  <c r="CF46" i="153" s="1"/>
  <c r="CI46" i="153" s="1"/>
  <c r="CL46" i="153" s="1"/>
  <c r="CO46" i="153" s="1"/>
  <c r="CR46" i="153" s="1"/>
  <c r="CU46" i="153" s="1"/>
  <c r="CW45" i="153"/>
  <c r="CV45" i="153"/>
  <c r="I45" i="153"/>
  <c r="L45" i="153" s="1"/>
  <c r="O45" i="153" s="1"/>
  <c r="R45" i="153" s="1"/>
  <c r="U45" i="153" s="1"/>
  <c r="X45" i="153" s="1"/>
  <c r="AA45" i="153" s="1"/>
  <c r="AD45" i="153" s="1"/>
  <c r="AG45" i="153" s="1"/>
  <c r="AJ45" i="153" s="1"/>
  <c r="AM45" i="153" s="1"/>
  <c r="AP45" i="153" s="1"/>
  <c r="AS45" i="153" s="1"/>
  <c r="AV45" i="153" s="1"/>
  <c r="AY45" i="153" s="1"/>
  <c r="BB45" i="153" s="1"/>
  <c r="BE45" i="153" s="1"/>
  <c r="BH45" i="153" s="1"/>
  <c r="BK45" i="153" s="1"/>
  <c r="BN45" i="153" s="1"/>
  <c r="BQ45" i="153" s="1"/>
  <c r="BT45" i="153" s="1"/>
  <c r="BW45" i="153" s="1"/>
  <c r="BZ45" i="153" s="1"/>
  <c r="CC45" i="153" s="1"/>
  <c r="CF45" i="153" s="1"/>
  <c r="CI45" i="153" s="1"/>
  <c r="CL45" i="153" s="1"/>
  <c r="CO45" i="153" s="1"/>
  <c r="CR45" i="153" s="1"/>
  <c r="CU45" i="153" s="1"/>
  <c r="CW44" i="153"/>
  <c r="CV44" i="153"/>
  <c r="I44" i="153"/>
  <c r="L44" i="153" s="1"/>
  <c r="O44" i="153" s="1"/>
  <c r="R44" i="153" s="1"/>
  <c r="U44" i="153" s="1"/>
  <c r="X44" i="153" s="1"/>
  <c r="AA44" i="153" s="1"/>
  <c r="AD44" i="153" s="1"/>
  <c r="AG44" i="153" s="1"/>
  <c r="AJ44" i="153" s="1"/>
  <c r="AM44" i="153" s="1"/>
  <c r="AP44" i="153" s="1"/>
  <c r="AS44" i="153" s="1"/>
  <c r="AV44" i="153" s="1"/>
  <c r="AY44" i="153" s="1"/>
  <c r="BB44" i="153" s="1"/>
  <c r="BE44" i="153" s="1"/>
  <c r="BH44" i="153" s="1"/>
  <c r="BK44" i="153" s="1"/>
  <c r="BN44" i="153" s="1"/>
  <c r="BQ44" i="153" s="1"/>
  <c r="BT44" i="153" s="1"/>
  <c r="BW44" i="153" s="1"/>
  <c r="BZ44" i="153" s="1"/>
  <c r="CC44" i="153" s="1"/>
  <c r="CF44" i="153" s="1"/>
  <c r="CI44" i="153" s="1"/>
  <c r="CL44" i="153" s="1"/>
  <c r="CO44" i="153" s="1"/>
  <c r="CR44" i="153" s="1"/>
  <c r="CU44" i="153" s="1"/>
  <c r="CV43" i="153"/>
  <c r="I43" i="153"/>
  <c r="L43" i="153" s="1"/>
  <c r="O43" i="153" s="1"/>
  <c r="R43" i="153" s="1"/>
  <c r="U43" i="153" s="1"/>
  <c r="X43" i="153" s="1"/>
  <c r="AA43" i="153" s="1"/>
  <c r="AD43" i="153" s="1"/>
  <c r="AG43" i="153" s="1"/>
  <c r="AJ43" i="153" s="1"/>
  <c r="AM43" i="153" s="1"/>
  <c r="AP43" i="153" s="1"/>
  <c r="AS43" i="153" s="1"/>
  <c r="AV43" i="153" s="1"/>
  <c r="AY43" i="153" s="1"/>
  <c r="BB43" i="153" s="1"/>
  <c r="BE43" i="153" s="1"/>
  <c r="BH43" i="153" s="1"/>
  <c r="BK43" i="153" s="1"/>
  <c r="BN43" i="153" s="1"/>
  <c r="BQ43" i="153" s="1"/>
  <c r="BT43" i="153" s="1"/>
  <c r="BW43" i="153" s="1"/>
  <c r="BZ43" i="153" s="1"/>
  <c r="CC43" i="153" s="1"/>
  <c r="CF43" i="153" s="1"/>
  <c r="CI43" i="153" s="1"/>
  <c r="CL43" i="153" s="1"/>
  <c r="CO43" i="153" s="1"/>
  <c r="CR43" i="153" s="1"/>
  <c r="CU43" i="153" s="1"/>
  <c r="CW42" i="153"/>
  <c r="CV42" i="153"/>
  <c r="I42" i="153"/>
  <c r="L42" i="153" s="1"/>
  <c r="O42" i="153" s="1"/>
  <c r="R42" i="153" s="1"/>
  <c r="U42" i="153" s="1"/>
  <c r="X42" i="153" s="1"/>
  <c r="AA42" i="153" s="1"/>
  <c r="AD42" i="153" s="1"/>
  <c r="AG42" i="153" s="1"/>
  <c r="AJ42" i="153" s="1"/>
  <c r="AM42" i="153" s="1"/>
  <c r="AP42" i="153" s="1"/>
  <c r="AS42" i="153" s="1"/>
  <c r="AV42" i="153" s="1"/>
  <c r="AY42" i="153" s="1"/>
  <c r="BB42" i="153" s="1"/>
  <c r="BE42" i="153" s="1"/>
  <c r="BH42" i="153" s="1"/>
  <c r="BK42" i="153" s="1"/>
  <c r="BN42" i="153" s="1"/>
  <c r="BQ42" i="153" s="1"/>
  <c r="BT42" i="153" s="1"/>
  <c r="BW42" i="153" s="1"/>
  <c r="BZ42" i="153" s="1"/>
  <c r="CC42" i="153" s="1"/>
  <c r="CF42" i="153" s="1"/>
  <c r="CI42" i="153" s="1"/>
  <c r="CL42" i="153" s="1"/>
  <c r="CO42" i="153" s="1"/>
  <c r="CR42" i="153" s="1"/>
  <c r="CU42" i="153" s="1"/>
  <c r="CW41" i="153"/>
  <c r="CV41" i="153"/>
  <c r="I41" i="153"/>
  <c r="L41" i="153" s="1"/>
  <c r="O41" i="153" s="1"/>
  <c r="R41" i="153" s="1"/>
  <c r="U41" i="153" s="1"/>
  <c r="X41" i="153" s="1"/>
  <c r="AA41" i="153" s="1"/>
  <c r="AD41" i="153" s="1"/>
  <c r="AG41" i="153" s="1"/>
  <c r="AJ41" i="153" s="1"/>
  <c r="AM41" i="153" s="1"/>
  <c r="AP41" i="153" s="1"/>
  <c r="AS41" i="153" s="1"/>
  <c r="AV41" i="153" s="1"/>
  <c r="AY41" i="153" s="1"/>
  <c r="BB41" i="153" s="1"/>
  <c r="BE41" i="153" s="1"/>
  <c r="BH41" i="153" s="1"/>
  <c r="BK41" i="153" s="1"/>
  <c r="BN41" i="153" s="1"/>
  <c r="BQ41" i="153" s="1"/>
  <c r="BT41" i="153" s="1"/>
  <c r="BW41" i="153" s="1"/>
  <c r="BZ41" i="153" s="1"/>
  <c r="CC41" i="153" s="1"/>
  <c r="CF41" i="153" s="1"/>
  <c r="CI41" i="153" s="1"/>
  <c r="CL41" i="153" s="1"/>
  <c r="CO41" i="153" s="1"/>
  <c r="CR41" i="153" s="1"/>
  <c r="CU41" i="153" s="1"/>
  <c r="CV40" i="153"/>
  <c r="I40" i="153"/>
  <c r="L40" i="153" s="1"/>
  <c r="O40" i="153" s="1"/>
  <c r="R40" i="153" s="1"/>
  <c r="U40" i="153" s="1"/>
  <c r="X40" i="153" s="1"/>
  <c r="AA40" i="153" s="1"/>
  <c r="AD40" i="153" s="1"/>
  <c r="AG40" i="153" s="1"/>
  <c r="AJ40" i="153" s="1"/>
  <c r="AM40" i="153" s="1"/>
  <c r="AP40" i="153" s="1"/>
  <c r="AS40" i="153" s="1"/>
  <c r="AV40" i="153" s="1"/>
  <c r="AY40" i="153" s="1"/>
  <c r="BB40" i="153" s="1"/>
  <c r="BE40" i="153" s="1"/>
  <c r="BH40" i="153" s="1"/>
  <c r="BK40" i="153" s="1"/>
  <c r="BN40" i="153" s="1"/>
  <c r="BQ40" i="153" s="1"/>
  <c r="BT40" i="153" s="1"/>
  <c r="BW40" i="153" s="1"/>
  <c r="BZ40" i="153" s="1"/>
  <c r="CC40" i="153" s="1"/>
  <c r="CF40" i="153" s="1"/>
  <c r="CI40" i="153" s="1"/>
  <c r="CL40" i="153" s="1"/>
  <c r="CO40" i="153" s="1"/>
  <c r="CR40" i="153" s="1"/>
  <c r="CU40" i="153" s="1"/>
  <c r="CV39" i="153"/>
  <c r="CW38" i="153"/>
  <c r="CV38" i="153"/>
  <c r="I38" i="153"/>
  <c r="L38" i="153" s="1"/>
  <c r="O38" i="153" s="1"/>
  <c r="R38" i="153" s="1"/>
  <c r="U38" i="153" s="1"/>
  <c r="X38" i="153" s="1"/>
  <c r="AA38" i="153" s="1"/>
  <c r="AD38" i="153" s="1"/>
  <c r="AG38" i="153" s="1"/>
  <c r="AJ38" i="153" s="1"/>
  <c r="AM38" i="153" s="1"/>
  <c r="AP38" i="153" s="1"/>
  <c r="AS38" i="153" s="1"/>
  <c r="AV38" i="153" s="1"/>
  <c r="AY38" i="153" s="1"/>
  <c r="BB38" i="153" s="1"/>
  <c r="BE38" i="153" s="1"/>
  <c r="BH38" i="153" s="1"/>
  <c r="BK38" i="153" s="1"/>
  <c r="BN38" i="153" s="1"/>
  <c r="BQ38" i="153" s="1"/>
  <c r="BT38" i="153" s="1"/>
  <c r="BW38" i="153" s="1"/>
  <c r="BZ38" i="153" s="1"/>
  <c r="CC38" i="153" s="1"/>
  <c r="CF38" i="153" s="1"/>
  <c r="CI38" i="153" s="1"/>
  <c r="CL38" i="153" s="1"/>
  <c r="CO38" i="153" s="1"/>
  <c r="CR38" i="153" s="1"/>
  <c r="CU38" i="153" s="1"/>
  <c r="CW37" i="153"/>
  <c r="CV37" i="153"/>
  <c r="I37" i="153"/>
  <c r="L37" i="153" s="1"/>
  <c r="O37" i="153" s="1"/>
  <c r="R37" i="153" s="1"/>
  <c r="U37" i="153" s="1"/>
  <c r="X37" i="153" s="1"/>
  <c r="AA37" i="153" s="1"/>
  <c r="AD37" i="153" s="1"/>
  <c r="AG37" i="153" s="1"/>
  <c r="AJ37" i="153" s="1"/>
  <c r="AM37" i="153" s="1"/>
  <c r="AP37" i="153" s="1"/>
  <c r="AS37" i="153" s="1"/>
  <c r="AV37" i="153" s="1"/>
  <c r="AY37" i="153" s="1"/>
  <c r="BB37" i="153" s="1"/>
  <c r="BE37" i="153" s="1"/>
  <c r="BH37" i="153" s="1"/>
  <c r="BK37" i="153" s="1"/>
  <c r="BN37" i="153" s="1"/>
  <c r="BQ37" i="153" s="1"/>
  <c r="BT37" i="153" s="1"/>
  <c r="BW37" i="153" s="1"/>
  <c r="BZ37" i="153" s="1"/>
  <c r="CC37" i="153" s="1"/>
  <c r="CF37" i="153" s="1"/>
  <c r="CI37" i="153" s="1"/>
  <c r="CL37" i="153" s="1"/>
  <c r="CO37" i="153" s="1"/>
  <c r="CR37" i="153" s="1"/>
  <c r="CU37" i="153" s="1"/>
  <c r="CV36" i="153"/>
  <c r="I36" i="153"/>
  <c r="L36" i="153" s="1"/>
  <c r="O36" i="153" s="1"/>
  <c r="R36" i="153" s="1"/>
  <c r="U36" i="153" s="1"/>
  <c r="X36" i="153" s="1"/>
  <c r="AA36" i="153" s="1"/>
  <c r="AD36" i="153" s="1"/>
  <c r="AG36" i="153" s="1"/>
  <c r="AJ36" i="153" s="1"/>
  <c r="AM36" i="153" s="1"/>
  <c r="AP36" i="153" s="1"/>
  <c r="AS36" i="153" s="1"/>
  <c r="AV36" i="153" s="1"/>
  <c r="AY36" i="153" s="1"/>
  <c r="BB36" i="153" s="1"/>
  <c r="BE36" i="153" s="1"/>
  <c r="BH36" i="153" s="1"/>
  <c r="BK36" i="153" s="1"/>
  <c r="BN36" i="153" s="1"/>
  <c r="BQ36" i="153" s="1"/>
  <c r="BT36" i="153" s="1"/>
  <c r="BW36" i="153" s="1"/>
  <c r="BZ36" i="153" s="1"/>
  <c r="CC36" i="153" s="1"/>
  <c r="CF36" i="153" s="1"/>
  <c r="CI36" i="153" s="1"/>
  <c r="CL36" i="153" s="1"/>
  <c r="CO36" i="153" s="1"/>
  <c r="CR36" i="153" s="1"/>
  <c r="CU36" i="153" s="1"/>
  <c r="CW35" i="153"/>
  <c r="CV35" i="153"/>
  <c r="I35" i="153"/>
  <c r="L35" i="153" s="1"/>
  <c r="O35" i="153" s="1"/>
  <c r="R35" i="153" s="1"/>
  <c r="U35" i="153" s="1"/>
  <c r="X35" i="153" s="1"/>
  <c r="AA35" i="153" s="1"/>
  <c r="AD35" i="153" s="1"/>
  <c r="AG35" i="153" s="1"/>
  <c r="AJ35" i="153" s="1"/>
  <c r="AM35" i="153" s="1"/>
  <c r="AP35" i="153" s="1"/>
  <c r="AS35" i="153" s="1"/>
  <c r="AV35" i="153" s="1"/>
  <c r="AY35" i="153" s="1"/>
  <c r="BB35" i="153" s="1"/>
  <c r="BE35" i="153" s="1"/>
  <c r="BH35" i="153" s="1"/>
  <c r="BK35" i="153" s="1"/>
  <c r="BN35" i="153" s="1"/>
  <c r="BQ35" i="153" s="1"/>
  <c r="BT35" i="153" s="1"/>
  <c r="BW35" i="153" s="1"/>
  <c r="BZ35" i="153" s="1"/>
  <c r="CC35" i="153" s="1"/>
  <c r="CF35" i="153" s="1"/>
  <c r="CI35" i="153" s="1"/>
  <c r="CL35" i="153" s="1"/>
  <c r="CO35" i="153" s="1"/>
  <c r="CR35" i="153" s="1"/>
  <c r="CU35" i="153" s="1"/>
  <c r="CW34" i="153"/>
  <c r="CV34" i="153"/>
  <c r="I34" i="153"/>
  <c r="L34" i="153" s="1"/>
  <c r="O34" i="153" s="1"/>
  <c r="R34" i="153" s="1"/>
  <c r="U34" i="153" s="1"/>
  <c r="X34" i="153" s="1"/>
  <c r="AA34" i="153" s="1"/>
  <c r="AD34" i="153" s="1"/>
  <c r="AG34" i="153" s="1"/>
  <c r="AJ34" i="153" s="1"/>
  <c r="AM34" i="153" s="1"/>
  <c r="AP34" i="153" s="1"/>
  <c r="AS34" i="153" s="1"/>
  <c r="AV34" i="153" s="1"/>
  <c r="AY34" i="153" s="1"/>
  <c r="BB34" i="153" s="1"/>
  <c r="BE34" i="153" s="1"/>
  <c r="BH34" i="153" s="1"/>
  <c r="BK34" i="153" s="1"/>
  <c r="BN34" i="153" s="1"/>
  <c r="BQ34" i="153" s="1"/>
  <c r="BT34" i="153" s="1"/>
  <c r="BW34" i="153" s="1"/>
  <c r="BZ34" i="153" s="1"/>
  <c r="CC34" i="153" s="1"/>
  <c r="CF34" i="153" s="1"/>
  <c r="CI34" i="153" s="1"/>
  <c r="CL34" i="153" s="1"/>
  <c r="CO34" i="153" s="1"/>
  <c r="CR34" i="153" s="1"/>
  <c r="CU34" i="153" s="1"/>
  <c r="CW33" i="153"/>
  <c r="CV33" i="153"/>
  <c r="I33" i="153"/>
  <c r="L33" i="153" s="1"/>
  <c r="O33" i="153" s="1"/>
  <c r="R33" i="153" s="1"/>
  <c r="U33" i="153" s="1"/>
  <c r="X33" i="153" s="1"/>
  <c r="AA33" i="153" s="1"/>
  <c r="AD33" i="153" s="1"/>
  <c r="AG33" i="153" s="1"/>
  <c r="AJ33" i="153" s="1"/>
  <c r="AM33" i="153" s="1"/>
  <c r="AP33" i="153" s="1"/>
  <c r="AS33" i="153" s="1"/>
  <c r="AV33" i="153" s="1"/>
  <c r="AY33" i="153" s="1"/>
  <c r="BB33" i="153" s="1"/>
  <c r="BE33" i="153" s="1"/>
  <c r="BH33" i="153" s="1"/>
  <c r="BK33" i="153" s="1"/>
  <c r="BN33" i="153" s="1"/>
  <c r="BQ33" i="153" s="1"/>
  <c r="BT33" i="153" s="1"/>
  <c r="BW33" i="153" s="1"/>
  <c r="BZ33" i="153" s="1"/>
  <c r="CC33" i="153" s="1"/>
  <c r="CF33" i="153" s="1"/>
  <c r="CI33" i="153" s="1"/>
  <c r="CL33" i="153" s="1"/>
  <c r="CO33" i="153" s="1"/>
  <c r="CR33" i="153" s="1"/>
  <c r="CU33" i="153" s="1"/>
  <c r="CW32" i="153"/>
  <c r="CV32" i="153"/>
  <c r="I32" i="153"/>
  <c r="CW31" i="153"/>
  <c r="CV31" i="153"/>
  <c r="I31" i="153"/>
  <c r="L31" i="153" s="1"/>
  <c r="O31" i="153" s="1"/>
  <c r="R31" i="153" s="1"/>
  <c r="U31" i="153" s="1"/>
  <c r="X31" i="153" s="1"/>
  <c r="AA31" i="153" s="1"/>
  <c r="AD31" i="153" s="1"/>
  <c r="AG31" i="153" s="1"/>
  <c r="AJ31" i="153" s="1"/>
  <c r="AM31" i="153" s="1"/>
  <c r="AP31" i="153" s="1"/>
  <c r="AS31" i="153" s="1"/>
  <c r="AV31" i="153" s="1"/>
  <c r="AY31" i="153" s="1"/>
  <c r="BB31" i="153" s="1"/>
  <c r="BE31" i="153" s="1"/>
  <c r="BH31" i="153" s="1"/>
  <c r="BK31" i="153" s="1"/>
  <c r="BN31" i="153" s="1"/>
  <c r="BQ31" i="153" s="1"/>
  <c r="BT31" i="153" s="1"/>
  <c r="BW31" i="153" s="1"/>
  <c r="BZ31" i="153" s="1"/>
  <c r="CC31" i="153" s="1"/>
  <c r="CF31" i="153" s="1"/>
  <c r="CI31" i="153" s="1"/>
  <c r="CL31" i="153" s="1"/>
  <c r="CO31" i="153" s="1"/>
  <c r="CR31" i="153" s="1"/>
  <c r="CU31" i="153" s="1"/>
  <c r="CW30" i="153"/>
  <c r="CV30" i="153"/>
  <c r="I30" i="153"/>
  <c r="L30" i="153" s="1"/>
  <c r="O30" i="153" s="1"/>
  <c r="R30" i="153" s="1"/>
  <c r="U30" i="153" s="1"/>
  <c r="X30" i="153" s="1"/>
  <c r="AA30" i="153" s="1"/>
  <c r="AD30" i="153" s="1"/>
  <c r="AG30" i="153" s="1"/>
  <c r="AJ30" i="153" s="1"/>
  <c r="AM30" i="153" s="1"/>
  <c r="AP30" i="153" s="1"/>
  <c r="AS30" i="153" s="1"/>
  <c r="AV30" i="153" s="1"/>
  <c r="AY30" i="153" s="1"/>
  <c r="BB30" i="153" s="1"/>
  <c r="BE30" i="153" s="1"/>
  <c r="BH30" i="153" s="1"/>
  <c r="BK30" i="153" s="1"/>
  <c r="BN30" i="153" s="1"/>
  <c r="BQ30" i="153" s="1"/>
  <c r="BT30" i="153" s="1"/>
  <c r="BW30" i="153" s="1"/>
  <c r="BZ30" i="153" s="1"/>
  <c r="CC30" i="153" s="1"/>
  <c r="CF30" i="153" s="1"/>
  <c r="CI30" i="153" s="1"/>
  <c r="CL30" i="153" s="1"/>
  <c r="CO30" i="153" s="1"/>
  <c r="CR30" i="153" s="1"/>
  <c r="CU30" i="153" s="1"/>
  <c r="CW29" i="153"/>
  <c r="CV29" i="153"/>
  <c r="I29" i="153"/>
  <c r="L29" i="153" s="1"/>
  <c r="O29" i="153" s="1"/>
  <c r="R29" i="153" s="1"/>
  <c r="U29" i="153" s="1"/>
  <c r="X29" i="153" s="1"/>
  <c r="AA29" i="153" s="1"/>
  <c r="AD29" i="153" s="1"/>
  <c r="AG29" i="153" s="1"/>
  <c r="AJ29" i="153" s="1"/>
  <c r="AM29" i="153" s="1"/>
  <c r="AP29" i="153" s="1"/>
  <c r="AS29" i="153" s="1"/>
  <c r="AV29" i="153" s="1"/>
  <c r="AY29" i="153" s="1"/>
  <c r="BB29" i="153" s="1"/>
  <c r="BE29" i="153" s="1"/>
  <c r="BH29" i="153" s="1"/>
  <c r="BK29" i="153" s="1"/>
  <c r="BN29" i="153" s="1"/>
  <c r="BQ29" i="153" s="1"/>
  <c r="BT29" i="153" s="1"/>
  <c r="BW29" i="153" s="1"/>
  <c r="BZ29" i="153" s="1"/>
  <c r="CC29" i="153" s="1"/>
  <c r="CF29" i="153" s="1"/>
  <c r="CI29" i="153" s="1"/>
  <c r="CL29" i="153" s="1"/>
  <c r="CO29" i="153" s="1"/>
  <c r="CR29" i="153" s="1"/>
  <c r="CU29" i="153" s="1"/>
  <c r="CW28" i="153"/>
  <c r="CV28" i="153"/>
  <c r="I28" i="153"/>
  <c r="L28" i="153" s="1"/>
  <c r="O28" i="153" s="1"/>
  <c r="R28" i="153" s="1"/>
  <c r="U28" i="153" s="1"/>
  <c r="X28" i="153" s="1"/>
  <c r="AA28" i="153" s="1"/>
  <c r="AD28" i="153" s="1"/>
  <c r="AG28" i="153" s="1"/>
  <c r="AJ28" i="153" s="1"/>
  <c r="AM28" i="153" s="1"/>
  <c r="AP28" i="153" s="1"/>
  <c r="AS28" i="153" s="1"/>
  <c r="AV28" i="153" s="1"/>
  <c r="AY28" i="153" s="1"/>
  <c r="BB28" i="153" s="1"/>
  <c r="BE28" i="153" s="1"/>
  <c r="BH28" i="153" s="1"/>
  <c r="BK28" i="153" s="1"/>
  <c r="BN28" i="153" s="1"/>
  <c r="BQ28" i="153" s="1"/>
  <c r="BT28" i="153" s="1"/>
  <c r="BW28" i="153" s="1"/>
  <c r="BZ28" i="153" s="1"/>
  <c r="CC28" i="153" s="1"/>
  <c r="CF28" i="153" s="1"/>
  <c r="CI28" i="153" s="1"/>
  <c r="CL28" i="153" s="1"/>
  <c r="CO28" i="153" s="1"/>
  <c r="CR28" i="153" s="1"/>
  <c r="CU28" i="153" s="1"/>
  <c r="CV27" i="153"/>
  <c r="CW27" i="153"/>
  <c r="I27" i="153"/>
  <c r="L27" i="153" s="1"/>
  <c r="O27" i="153" s="1"/>
  <c r="R27" i="153" s="1"/>
  <c r="U27" i="153" s="1"/>
  <c r="X27" i="153" s="1"/>
  <c r="AA27" i="153" s="1"/>
  <c r="AD27" i="153" s="1"/>
  <c r="AG27" i="153" s="1"/>
  <c r="AJ27" i="153" s="1"/>
  <c r="AM27" i="153" s="1"/>
  <c r="AP27" i="153" s="1"/>
  <c r="AS27" i="153" s="1"/>
  <c r="AV27" i="153" s="1"/>
  <c r="AY27" i="153" s="1"/>
  <c r="BB27" i="153" s="1"/>
  <c r="BE27" i="153" s="1"/>
  <c r="BH27" i="153" s="1"/>
  <c r="BK27" i="153" s="1"/>
  <c r="BN27" i="153" s="1"/>
  <c r="BQ27" i="153" s="1"/>
  <c r="BT27" i="153" s="1"/>
  <c r="BW27" i="153" s="1"/>
  <c r="BZ27" i="153" s="1"/>
  <c r="CC27" i="153" s="1"/>
  <c r="CF27" i="153" s="1"/>
  <c r="CI27" i="153" s="1"/>
  <c r="CL27" i="153" s="1"/>
  <c r="CO27" i="153" s="1"/>
  <c r="CR27" i="153" s="1"/>
  <c r="CU27" i="153" s="1"/>
  <c r="CV26" i="153"/>
  <c r="CW26" i="153"/>
  <c r="I26" i="153"/>
  <c r="L26" i="153" s="1"/>
  <c r="O26" i="153" s="1"/>
  <c r="R26" i="153" s="1"/>
  <c r="U26" i="153" s="1"/>
  <c r="X26" i="153" s="1"/>
  <c r="AA26" i="153" s="1"/>
  <c r="AD26" i="153" s="1"/>
  <c r="AG26" i="153" s="1"/>
  <c r="AJ26" i="153" s="1"/>
  <c r="AM26" i="153" s="1"/>
  <c r="AP26" i="153" s="1"/>
  <c r="AS26" i="153" s="1"/>
  <c r="AV26" i="153" s="1"/>
  <c r="AY26" i="153" s="1"/>
  <c r="BB26" i="153" s="1"/>
  <c r="BE26" i="153" s="1"/>
  <c r="BH26" i="153" s="1"/>
  <c r="BK26" i="153" s="1"/>
  <c r="BN26" i="153" s="1"/>
  <c r="BQ26" i="153" s="1"/>
  <c r="BT26" i="153" s="1"/>
  <c r="BW26" i="153" s="1"/>
  <c r="BZ26" i="153" s="1"/>
  <c r="CC26" i="153" s="1"/>
  <c r="CF26" i="153" s="1"/>
  <c r="CI26" i="153" s="1"/>
  <c r="CL26" i="153" s="1"/>
  <c r="CO26" i="153" s="1"/>
  <c r="CR26" i="153" s="1"/>
  <c r="CU26" i="153" s="1"/>
  <c r="CV25" i="153"/>
  <c r="CW25" i="153"/>
  <c r="I25" i="153"/>
  <c r="CW24" i="153"/>
  <c r="CV24" i="153"/>
  <c r="I24" i="153"/>
  <c r="L24" i="153" s="1"/>
  <c r="O24" i="153" s="1"/>
  <c r="R24" i="153" s="1"/>
  <c r="U24" i="153" s="1"/>
  <c r="X24" i="153" s="1"/>
  <c r="AA24" i="153" s="1"/>
  <c r="AD24" i="153" s="1"/>
  <c r="AG24" i="153" s="1"/>
  <c r="AJ24" i="153" s="1"/>
  <c r="AM24" i="153" s="1"/>
  <c r="AP24" i="153" s="1"/>
  <c r="AS24" i="153" s="1"/>
  <c r="AV24" i="153" s="1"/>
  <c r="AY24" i="153" s="1"/>
  <c r="BB24" i="153" s="1"/>
  <c r="BE24" i="153" s="1"/>
  <c r="BH24" i="153" s="1"/>
  <c r="BK24" i="153" s="1"/>
  <c r="BN24" i="153" s="1"/>
  <c r="BQ24" i="153" s="1"/>
  <c r="BT24" i="153" s="1"/>
  <c r="BW24" i="153" s="1"/>
  <c r="BZ24" i="153" s="1"/>
  <c r="CC24" i="153" s="1"/>
  <c r="CF24" i="153" s="1"/>
  <c r="CI24" i="153" s="1"/>
  <c r="CL24" i="153" s="1"/>
  <c r="CO24" i="153" s="1"/>
  <c r="CR24" i="153" s="1"/>
  <c r="CU24" i="153" s="1"/>
  <c r="CV23" i="153"/>
  <c r="CW23" i="153"/>
  <c r="I23" i="153"/>
  <c r="L23" i="153" s="1"/>
  <c r="O23" i="153" s="1"/>
  <c r="R23" i="153" s="1"/>
  <c r="U23" i="153" s="1"/>
  <c r="X23" i="153" s="1"/>
  <c r="AA23" i="153" s="1"/>
  <c r="AD23" i="153" s="1"/>
  <c r="AG23" i="153" s="1"/>
  <c r="AJ23" i="153" s="1"/>
  <c r="AM23" i="153" s="1"/>
  <c r="AP23" i="153" s="1"/>
  <c r="AS23" i="153" s="1"/>
  <c r="AV23" i="153" s="1"/>
  <c r="AY23" i="153" s="1"/>
  <c r="BB23" i="153" s="1"/>
  <c r="BE23" i="153" s="1"/>
  <c r="BH23" i="153" s="1"/>
  <c r="BK23" i="153" s="1"/>
  <c r="BN23" i="153" s="1"/>
  <c r="BQ23" i="153" s="1"/>
  <c r="BT23" i="153" s="1"/>
  <c r="BW23" i="153" s="1"/>
  <c r="BZ23" i="153" s="1"/>
  <c r="CC23" i="153" s="1"/>
  <c r="CF23" i="153" s="1"/>
  <c r="CI23" i="153" s="1"/>
  <c r="CL23" i="153" s="1"/>
  <c r="CO23" i="153" s="1"/>
  <c r="CR23" i="153" s="1"/>
  <c r="CU23" i="153" s="1"/>
  <c r="CV22" i="153"/>
  <c r="I22" i="153"/>
  <c r="L22" i="153" s="1"/>
  <c r="O22" i="153" s="1"/>
  <c r="R22" i="153" s="1"/>
  <c r="U22" i="153" s="1"/>
  <c r="X22" i="153" s="1"/>
  <c r="AA22" i="153" s="1"/>
  <c r="AD22" i="153" s="1"/>
  <c r="AG22" i="153" s="1"/>
  <c r="AJ22" i="153" s="1"/>
  <c r="AM22" i="153" s="1"/>
  <c r="AP22" i="153" s="1"/>
  <c r="AS22" i="153" s="1"/>
  <c r="AV22" i="153" s="1"/>
  <c r="AY22" i="153" s="1"/>
  <c r="BB22" i="153" s="1"/>
  <c r="BE22" i="153" s="1"/>
  <c r="BH22" i="153" s="1"/>
  <c r="BK22" i="153" s="1"/>
  <c r="BN22" i="153" s="1"/>
  <c r="BQ22" i="153" s="1"/>
  <c r="BT22" i="153" s="1"/>
  <c r="BW22" i="153" s="1"/>
  <c r="BZ22" i="153" s="1"/>
  <c r="CC22" i="153" s="1"/>
  <c r="CF22" i="153" s="1"/>
  <c r="CI22" i="153" s="1"/>
  <c r="CL22" i="153" s="1"/>
  <c r="CO22" i="153" s="1"/>
  <c r="CR22" i="153" s="1"/>
  <c r="CU22" i="153" s="1"/>
  <c r="CV21" i="153"/>
  <c r="I21" i="153"/>
  <c r="L21" i="153" s="1"/>
  <c r="O21" i="153" s="1"/>
  <c r="R21" i="153" s="1"/>
  <c r="U21" i="153" s="1"/>
  <c r="X21" i="153" s="1"/>
  <c r="AA21" i="153" s="1"/>
  <c r="AD21" i="153" s="1"/>
  <c r="AG21" i="153" s="1"/>
  <c r="AJ21" i="153" s="1"/>
  <c r="AM21" i="153" s="1"/>
  <c r="AP21" i="153" s="1"/>
  <c r="AS21" i="153" s="1"/>
  <c r="AV21" i="153" s="1"/>
  <c r="AY21" i="153" s="1"/>
  <c r="BB21" i="153" s="1"/>
  <c r="BE21" i="153" s="1"/>
  <c r="BH21" i="153" s="1"/>
  <c r="BK21" i="153" s="1"/>
  <c r="BN21" i="153" s="1"/>
  <c r="BQ21" i="153" s="1"/>
  <c r="BT21" i="153" s="1"/>
  <c r="BW21" i="153" s="1"/>
  <c r="BZ21" i="153" s="1"/>
  <c r="CC21" i="153" s="1"/>
  <c r="CF21" i="153" s="1"/>
  <c r="CI21" i="153" s="1"/>
  <c r="CL21" i="153" s="1"/>
  <c r="CO21" i="153" s="1"/>
  <c r="CR21" i="153" s="1"/>
  <c r="CU21" i="153" s="1"/>
  <c r="CW20" i="153"/>
  <c r="CV20" i="153"/>
  <c r="I20" i="153"/>
  <c r="L20" i="153" s="1"/>
  <c r="O20" i="153" s="1"/>
  <c r="R20" i="153" s="1"/>
  <c r="U20" i="153" s="1"/>
  <c r="X20" i="153" s="1"/>
  <c r="AA20" i="153" s="1"/>
  <c r="AD20" i="153" s="1"/>
  <c r="AG20" i="153" s="1"/>
  <c r="AJ20" i="153" s="1"/>
  <c r="AM20" i="153" s="1"/>
  <c r="AP20" i="153" s="1"/>
  <c r="AS20" i="153" s="1"/>
  <c r="AV20" i="153" s="1"/>
  <c r="AY20" i="153" s="1"/>
  <c r="BB20" i="153" s="1"/>
  <c r="BE20" i="153" s="1"/>
  <c r="BH20" i="153" s="1"/>
  <c r="BK20" i="153" s="1"/>
  <c r="BN20" i="153" s="1"/>
  <c r="BQ20" i="153" s="1"/>
  <c r="BT20" i="153" s="1"/>
  <c r="BW20" i="153" s="1"/>
  <c r="BZ20" i="153" s="1"/>
  <c r="CC20" i="153" s="1"/>
  <c r="CF20" i="153" s="1"/>
  <c r="CI20" i="153" s="1"/>
  <c r="CL20" i="153" s="1"/>
  <c r="CO20" i="153" s="1"/>
  <c r="CR20" i="153" s="1"/>
  <c r="CU20" i="153" s="1"/>
  <c r="CV19" i="153"/>
  <c r="CW19" i="153"/>
  <c r="I19" i="153"/>
  <c r="L19" i="153" s="1"/>
  <c r="O19" i="153" s="1"/>
  <c r="R19" i="153" s="1"/>
  <c r="U19" i="153" s="1"/>
  <c r="X19" i="153" s="1"/>
  <c r="AA19" i="153" s="1"/>
  <c r="AD19" i="153" s="1"/>
  <c r="AG19" i="153" s="1"/>
  <c r="AJ19" i="153" s="1"/>
  <c r="AM19" i="153" s="1"/>
  <c r="AP19" i="153" s="1"/>
  <c r="AS19" i="153" s="1"/>
  <c r="AV19" i="153" s="1"/>
  <c r="AY19" i="153" s="1"/>
  <c r="BB19" i="153" s="1"/>
  <c r="BE19" i="153" s="1"/>
  <c r="BH19" i="153" s="1"/>
  <c r="BK19" i="153" s="1"/>
  <c r="BN19" i="153" s="1"/>
  <c r="BQ19" i="153" s="1"/>
  <c r="BT19" i="153" s="1"/>
  <c r="BW19" i="153" s="1"/>
  <c r="BZ19" i="153" s="1"/>
  <c r="CC19" i="153" s="1"/>
  <c r="CF19" i="153" s="1"/>
  <c r="CI19" i="153" s="1"/>
  <c r="CL19" i="153" s="1"/>
  <c r="CO19" i="153" s="1"/>
  <c r="CR19" i="153" s="1"/>
  <c r="CU19" i="153" s="1"/>
  <c r="CV18" i="153"/>
  <c r="I18" i="153"/>
  <c r="L18" i="153" s="1"/>
  <c r="O18" i="153" s="1"/>
  <c r="R18" i="153" s="1"/>
  <c r="U18" i="153" s="1"/>
  <c r="X18" i="153" s="1"/>
  <c r="AA18" i="153" s="1"/>
  <c r="AD18" i="153" s="1"/>
  <c r="AG18" i="153" s="1"/>
  <c r="AJ18" i="153" s="1"/>
  <c r="AM18" i="153" s="1"/>
  <c r="AP18" i="153" s="1"/>
  <c r="AS18" i="153" s="1"/>
  <c r="AV18" i="153" s="1"/>
  <c r="AY18" i="153" s="1"/>
  <c r="BB18" i="153" s="1"/>
  <c r="BE18" i="153" s="1"/>
  <c r="BH18" i="153" s="1"/>
  <c r="BK18" i="153" s="1"/>
  <c r="BN18" i="153" s="1"/>
  <c r="BQ18" i="153" s="1"/>
  <c r="BT18" i="153" s="1"/>
  <c r="BW18" i="153" s="1"/>
  <c r="BZ18" i="153" s="1"/>
  <c r="CC18" i="153" s="1"/>
  <c r="CF18" i="153" s="1"/>
  <c r="CI18" i="153" s="1"/>
  <c r="CL18" i="153" s="1"/>
  <c r="CO18" i="153" s="1"/>
  <c r="CR18" i="153" s="1"/>
  <c r="CU18" i="153" s="1"/>
  <c r="CW17" i="153"/>
  <c r="I17" i="153"/>
  <c r="L17" i="153" s="1"/>
  <c r="O17" i="153" s="1"/>
  <c r="R17" i="153" s="1"/>
  <c r="U17" i="153" s="1"/>
  <c r="X17" i="153" s="1"/>
  <c r="AA17" i="153" s="1"/>
  <c r="AD17" i="153" s="1"/>
  <c r="AG17" i="153" s="1"/>
  <c r="AJ17" i="153" s="1"/>
  <c r="AM17" i="153" s="1"/>
  <c r="AP17" i="153" s="1"/>
  <c r="AS17" i="153" s="1"/>
  <c r="AV17" i="153" s="1"/>
  <c r="AY17" i="153" s="1"/>
  <c r="BB17" i="153" s="1"/>
  <c r="BE17" i="153" s="1"/>
  <c r="BH17" i="153" s="1"/>
  <c r="BK17" i="153" s="1"/>
  <c r="BN17" i="153" s="1"/>
  <c r="BQ17" i="153" s="1"/>
  <c r="BT17" i="153" s="1"/>
  <c r="BW17" i="153" s="1"/>
  <c r="BZ17" i="153" s="1"/>
  <c r="CC17" i="153" s="1"/>
  <c r="CF17" i="153" s="1"/>
  <c r="CI17" i="153" s="1"/>
  <c r="CL17" i="153" s="1"/>
  <c r="CO17" i="153" s="1"/>
  <c r="CR17" i="153" s="1"/>
  <c r="CU17" i="153" s="1"/>
  <c r="CV16" i="153"/>
  <c r="I16" i="153"/>
  <c r="L16" i="153" s="1"/>
  <c r="O16" i="153" s="1"/>
  <c r="R16" i="153" s="1"/>
  <c r="U16" i="153" s="1"/>
  <c r="X16" i="153" s="1"/>
  <c r="AA16" i="153" s="1"/>
  <c r="AD16" i="153" s="1"/>
  <c r="AG16" i="153" s="1"/>
  <c r="AJ16" i="153" s="1"/>
  <c r="AM16" i="153" s="1"/>
  <c r="AP16" i="153" s="1"/>
  <c r="AS16" i="153" s="1"/>
  <c r="AV16" i="153" s="1"/>
  <c r="AY16" i="153" s="1"/>
  <c r="BB16" i="153" s="1"/>
  <c r="BE16" i="153" s="1"/>
  <c r="BH16" i="153" s="1"/>
  <c r="BK16" i="153" s="1"/>
  <c r="BN16" i="153" s="1"/>
  <c r="BQ16" i="153" s="1"/>
  <c r="BT16" i="153" s="1"/>
  <c r="BW16" i="153" s="1"/>
  <c r="BZ16" i="153" s="1"/>
  <c r="CC16" i="153" s="1"/>
  <c r="CF16" i="153" s="1"/>
  <c r="CI16" i="153" s="1"/>
  <c r="CL16" i="153" s="1"/>
  <c r="CO16" i="153" s="1"/>
  <c r="CR16" i="153" s="1"/>
  <c r="CU16" i="153" s="1"/>
  <c r="I15" i="153"/>
  <c r="L15" i="153" s="1"/>
  <c r="O15" i="153" s="1"/>
  <c r="R15" i="153" s="1"/>
  <c r="U15" i="153" s="1"/>
  <c r="X15" i="153" s="1"/>
  <c r="AA15" i="153" s="1"/>
  <c r="AD15" i="153" s="1"/>
  <c r="AG15" i="153" s="1"/>
  <c r="AJ15" i="153" s="1"/>
  <c r="AM15" i="153" s="1"/>
  <c r="AP15" i="153" s="1"/>
  <c r="AS15" i="153" s="1"/>
  <c r="AV15" i="153" s="1"/>
  <c r="AY15" i="153" s="1"/>
  <c r="BB15" i="153" s="1"/>
  <c r="BE15" i="153" s="1"/>
  <c r="BH15" i="153" s="1"/>
  <c r="BK15" i="153" s="1"/>
  <c r="BN15" i="153" s="1"/>
  <c r="BQ15" i="153" s="1"/>
  <c r="BT15" i="153" s="1"/>
  <c r="BW15" i="153" s="1"/>
  <c r="BZ15" i="153" s="1"/>
  <c r="CC15" i="153" s="1"/>
  <c r="CF15" i="153" s="1"/>
  <c r="CI15" i="153" s="1"/>
  <c r="CL15" i="153" s="1"/>
  <c r="CO15" i="153" s="1"/>
  <c r="CR15" i="153" s="1"/>
  <c r="CU15" i="153" s="1"/>
  <c r="CV14" i="153"/>
  <c r="I14" i="153"/>
  <c r="CV13" i="153"/>
  <c r="CW13" i="153"/>
  <c r="I13" i="153"/>
  <c r="L13" i="153" s="1"/>
  <c r="O13" i="153" s="1"/>
  <c r="R13" i="153" s="1"/>
  <c r="U13" i="153" s="1"/>
  <c r="X13" i="153" s="1"/>
  <c r="AA13" i="153" s="1"/>
  <c r="AD13" i="153" s="1"/>
  <c r="AG13" i="153" s="1"/>
  <c r="AJ13" i="153" s="1"/>
  <c r="AM13" i="153" s="1"/>
  <c r="AP13" i="153" s="1"/>
  <c r="AS13" i="153" s="1"/>
  <c r="AV13" i="153" s="1"/>
  <c r="AY13" i="153" s="1"/>
  <c r="BB13" i="153" s="1"/>
  <c r="BE13" i="153" s="1"/>
  <c r="BH13" i="153" s="1"/>
  <c r="BK13" i="153" s="1"/>
  <c r="BN13" i="153" s="1"/>
  <c r="BQ13" i="153" s="1"/>
  <c r="BT13" i="153" s="1"/>
  <c r="BW13" i="153" s="1"/>
  <c r="BZ13" i="153" s="1"/>
  <c r="CC13" i="153" s="1"/>
  <c r="CF13" i="153" s="1"/>
  <c r="CI13" i="153" s="1"/>
  <c r="CL13" i="153" s="1"/>
  <c r="CO13" i="153" s="1"/>
  <c r="CR13" i="153" s="1"/>
  <c r="CU13" i="153" s="1"/>
  <c r="CW12" i="153"/>
  <c r="CV12" i="153"/>
  <c r="CW11" i="153"/>
  <c r="CV11" i="153"/>
  <c r="I11" i="153"/>
  <c r="L11" i="153" s="1"/>
  <c r="O11" i="153" s="1"/>
  <c r="R11" i="153" s="1"/>
  <c r="U11" i="153" s="1"/>
  <c r="X11" i="153" s="1"/>
  <c r="AA11" i="153" s="1"/>
  <c r="AD11" i="153" s="1"/>
  <c r="AG11" i="153" s="1"/>
  <c r="AJ11" i="153" s="1"/>
  <c r="AM11" i="153" s="1"/>
  <c r="AP11" i="153" s="1"/>
  <c r="AS11" i="153" s="1"/>
  <c r="AV11" i="153" s="1"/>
  <c r="AY11" i="153" s="1"/>
  <c r="BB11" i="153" s="1"/>
  <c r="BE11" i="153" s="1"/>
  <c r="BH11" i="153" s="1"/>
  <c r="BK11" i="153" s="1"/>
  <c r="BN11" i="153" s="1"/>
  <c r="BQ11" i="153" s="1"/>
  <c r="BT11" i="153" s="1"/>
  <c r="BW11" i="153" s="1"/>
  <c r="BZ11" i="153" s="1"/>
  <c r="CC11" i="153" s="1"/>
  <c r="CF11" i="153" s="1"/>
  <c r="CI11" i="153" s="1"/>
  <c r="CL11" i="153" s="1"/>
  <c r="CO11" i="153" s="1"/>
  <c r="CR11" i="153" s="1"/>
  <c r="CU11" i="153" s="1"/>
  <c r="CW10" i="153"/>
  <c r="CV10" i="153"/>
  <c r="I10" i="153"/>
  <c r="L10" i="153" s="1"/>
  <c r="O10" i="153" s="1"/>
  <c r="R10" i="153" s="1"/>
  <c r="U10" i="153" s="1"/>
  <c r="X10" i="153" s="1"/>
  <c r="AA10" i="153" s="1"/>
  <c r="AD10" i="153" s="1"/>
  <c r="AG10" i="153" s="1"/>
  <c r="AJ10" i="153" s="1"/>
  <c r="AM10" i="153" s="1"/>
  <c r="AP10" i="153" s="1"/>
  <c r="AS10" i="153" s="1"/>
  <c r="AV10" i="153" s="1"/>
  <c r="AY10" i="153" s="1"/>
  <c r="BB10" i="153" s="1"/>
  <c r="BE10" i="153" s="1"/>
  <c r="BH10" i="153" s="1"/>
  <c r="BK10" i="153" s="1"/>
  <c r="BN10" i="153" s="1"/>
  <c r="BQ10" i="153" s="1"/>
  <c r="BT10" i="153" s="1"/>
  <c r="BW10" i="153" s="1"/>
  <c r="BZ10" i="153" s="1"/>
  <c r="CC10" i="153" s="1"/>
  <c r="CF10" i="153" s="1"/>
  <c r="CI10" i="153" s="1"/>
  <c r="CL10" i="153" s="1"/>
  <c r="CO10" i="153" s="1"/>
  <c r="CR10" i="153" s="1"/>
  <c r="CU10" i="153" s="1"/>
  <c r="CW9" i="153"/>
  <c r="CV9" i="153"/>
  <c r="I9" i="153"/>
  <c r="L9" i="153" s="1"/>
  <c r="O9" i="153" s="1"/>
  <c r="R9" i="153" s="1"/>
  <c r="U9" i="153" s="1"/>
  <c r="X9" i="153" s="1"/>
  <c r="AA9" i="153" s="1"/>
  <c r="AD9" i="153" s="1"/>
  <c r="AG9" i="153" s="1"/>
  <c r="AJ9" i="153" s="1"/>
  <c r="AM9" i="153" s="1"/>
  <c r="AP9" i="153" s="1"/>
  <c r="AS9" i="153" s="1"/>
  <c r="AV9" i="153" s="1"/>
  <c r="AY9" i="153" s="1"/>
  <c r="BB9" i="153" s="1"/>
  <c r="BE9" i="153" s="1"/>
  <c r="BH9" i="153" s="1"/>
  <c r="BK9" i="153" s="1"/>
  <c r="BN9" i="153" s="1"/>
  <c r="BQ9" i="153" s="1"/>
  <c r="BT9" i="153" s="1"/>
  <c r="BW9" i="153" s="1"/>
  <c r="BZ9" i="153" s="1"/>
  <c r="CC9" i="153" s="1"/>
  <c r="CF9" i="153" s="1"/>
  <c r="CI9" i="153" s="1"/>
  <c r="CL9" i="153" s="1"/>
  <c r="CO9" i="153" s="1"/>
  <c r="CR9" i="153" s="1"/>
  <c r="CU9" i="153" s="1"/>
  <c r="CW8" i="153"/>
  <c r="CV8" i="153"/>
  <c r="I8" i="153"/>
  <c r="L8" i="153" s="1"/>
  <c r="O8" i="153" s="1"/>
  <c r="R8" i="153" s="1"/>
  <c r="U8" i="153" s="1"/>
  <c r="X8" i="153" s="1"/>
  <c r="AA8" i="153" s="1"/>
  <c r="AD8" i="153" s="1"/>
  <c r="AG8" i="153" s="1"/>
  <c r="AJ8" i="153" s="1"/>
  <c r="AM8" i="153" s="1"/>
  <c r="AP8" i="153" s="1"/>
  <c r="AS8" i="153" s="1"/>
  <c r="AV8" i="153" s="1"/>
  <c r="AY8" i="153" s="1"/>
  <c r="BB8" i="153" s="1"/>
  <c r="BE8" i="153" s="1"/>
  <c r="BH8" i="153" s="1"/>
  <c r="BK8" i="153" s="1"/>
  <c r="BN8" i="153" s="1"/>
  <c r="BQ8" i="153" s="1"/>
  <c r="BT8" i="153" s="1"/>
  <c r="BW8" i="153" s="1"/>
  <c r="BZ8" i="153" s="1"/>
  <c r="CC8" i="153" s="1"/>
  <c r="CF8" i="153" s="1"/>
  <c r="CI8" i="153" s="1"/>
  <c r="CL8" i="153" s="1"/>
  <c r="CO8" i="153" s="1"/>
  <c r="CR8" i="153" s="1"/>
  <c r="CU8" i="153" s="1"/>
  <c r="CW7" i="153"/>
  <c r="CV7" i="153"/>
  <c r="I7" i="153"/>
  <c r="L7" i="153" s="1"/>
  <c r="O7" i="153" s="1"/>
  <c r="R7" i="153" s="1"/>
  <c r="U7" i="153" s="1"/>
  <c r="X7" i="153" s="1"/>
  <c r="AA7" i="153" s="1"/>
  <c r="AD7" i="153" s="1"/>
  <c r="AG7" i="153" s="1"/>
  <c r="AJ7" i="153" s="1"/>
  <c r="AM7" i="153" s="1"/>
  <c r="AP7" i="153" s="1"/>
  <c r="AS7" i="153" s="1"/>
  <c r="AV7" i="153" s="1"/>
  <c r="AY7" i="153" s="1"/>
  <c r="BB7" i="153" s="1"/>
  <c r="BE7" i="153" s="1"/>
  <c r="BH7" i="153" s="1"/>
  <c r="BK7" i="153" s="1"/>
  <c r="BN7" i="153" s="1"/>
  <c r="BQ7" i="153" s="1"/>
  <c r="BT7" i="153" s="1"/>
  <c r="BW7" i="153" s="1"/>
  <c r="BZ7" i="153" s="1"/>
  <c r="CC7" i="153" s="1"/>
  <c r="CF7" i="153" s="1"/>
  <c r="CI7" i="153" s="1"/>
  <c r="CL7" i="153" s="1"/>
  <c r="CO7" i="153" s="1"/>
  <c r="CR7" i="153" s="1"/>
  <c r="CU7" i="153" s="1"/>
  <c r="CV6" i="153"/>
  <c r="CW6" i="153"/>
  <c r="I6" i="153"/>
  <c r="L6" i="153" s="1"/>
  <c r="O6" i="153" s="1"/>
  <c r="R6" i="153" s="1"/>
  <c r="U6" i="153" s="1"/>
  <c r="X6" i="153" s="1"/>
  <c r="AA6" i="153" s="1"/>
  <c r="AD6" i="153" s="1"/>
  <c r="AG6" i="153" s="1"/>
  <c r="AJ6" i="153" s="1"/>
  <c r="AM6" i="153" s="1"/>
  <c r="AP6" i="153" s="1"/>
  <c r="AS6" i="153" s="1"/>
  <c r="AV6" i="153" s="1"/>
  <c r="AY6" i="153" s="1"/>
  <c r="BB6" i="153" s="1"/>
  <c r="BE6" i="153" s="1"/>
  <c r="BH6" i="153" s="1"/>
  <c r="BK6" i="153" s="1"/>
  <c r="BN6" i="153" s="1"/>
  <c r="BQ6" i="153" s="1"/>
  <c r="BT6" i="153" s="1"/>
  <c r="BW6" i="153" s="1"/>
  <c r="BZ6" i="153" s="1"/>
  <c r="CC6" i="153" s="1"/>
  <c r="CF6" i="153" s="1"/>
  <c r="CI6" i="153" s="1"/>
  <c r="CL6" i="153" s="1"/>
  <c r="CO6" i="153" s="1"/>
  <c r="CR6" i="153" s="1"/>
  <c r="CU6" i="153" s="1"/>
  <c r="CW5" i="153"/>
  <c r="CV5" i="153"/>
  <c r="I5" i="153"/>
  <c r="L5" i="153" s="1"/>
  <c r="O5" i="153" s="1"/>
  <c r="R5" i="153" s="1"/>
  <c r="U5" i="153" s="1"/>
  <c r="X5" i="153" s="1"/>
  <c r="AA5" i="153" s="1"/>
  <c r="AD5" i="153" s="1"/>
  <c r="AG5" i="153" s="1"/>
  <c r="AJ5" i="153" s="1"/>
  <c r="AM5" i="153" s="1"/>
  <c r="AP5" i="153" s="1"/>
  <c r="AS5" i="153" s="1"/>
  <c r="AV5" i="153" s="1"/>
  <c r="AY5" i="153" s="1"/>
  <c r="BB5" i="153" s="1"/>
  <c r="BE5" i="153" s="1"/>
  <c r="BH5" i="153" s="1"/>
  <c r="BK5" i="153" s="1"/>
  <c r="BN5" i="153" s="1"/>
  <c r="BQ5" i="153" s="1"/>
  <c r="BT5" i="153" s="1"/>
  <c r="BW5" i="153" s="1"/>
  <c r="BZ5" i="153" s="1"/>
  <c r="CC5" i="153" s="1"/>
  <c r="CF5" i="153" s="1"/>
  <c r="CI5" i="153" s="1"/>
  <c r="CL5" i="153" s="1"/>
  <c r="CO5" i="153" s="1"/>
  <c r="CR5" i="153" s="1"/>
  <c r="CU5" i="153" s="1"/>
  <c r="CP76" i="152"/>
  <c r="CP36" i="152"/>
  <c r="CP32" i="152"/>
  <c r="CP23" i="152"/>
  <c r="CP12" i="152"/>
  <c r="CQ76" i="152"/>
  <c r="CQ63" i="152"/>
  <c r="CQ59" i="152"/>
  <c r="CQ29" i="152"/>
  <c r="CQ39" i="152"/>
  <c r="CQ32" i="152"/>
  <c r="CP26" i="152"/>
  <c r="CQ60" i="152"/>
  <c r="CQ25" i="152"/>
  <c r="CQ23" i="152"/>
  <c r="CQ16" i="152"/>
  <c r="CQ14" i="152"/>
  <c r="CK40" i="152"/>
  <c r="CT18" i="152"/>
  <c r="CT15" i="152"/>
  <c r="CT6" i="152"/>
  <c r="CT22" i="152"/>
  <c r="CT40" i="152"/>
  <c r="CT25" i="152"/>
  <c r="CN40" i="152"/>
  <c r="AI81" i="152"/>
  <c r="L75" i="153" l="1"/>
  <c r="O75" i="153" s="1"/>
  <c r="R75" i="153" s="1"/>
  <c r="U75" i="153" s="1"/>
  <c r="X75" i="153" s="1"/>
  <c r="AA75" i="153" s="1"/>
  <c r="AD75" i="153" s="1"/>
  <c r="AG75" i="153" s="1"/>
  <c r="AJ75" i="153" s="1"/>
  <c r="AM75" i="153" s="1"/>
  <c r="AP75" i="153" s="1"/>
  <c r="AS75" i="153" s="1"/>
  <c r="AV75" i="153" s="1"/>
  <c r="AY75" i="153" s="1"/>
  <c r="BB75" i="153" s="1"/>
  <c r="BE75" i="153" s="1"/>
  <c r="BH75" i="153" s="1"/>
  <c r="BK75" i="153" s="1"/>
  <c r="BN75" i="153" s="1"/>
  <c r="BQ75" i="153" s="1"/>
  <c r="BT75" i="153" s="1"/>
  <c r="BW75" i="153" s="1"/>
  <c r="BZ75" i="153" s="1"/>
  <c r="CC75" i="153" s="1"/>
  <c r="CF75" i="153" s="1"/>
  <c r="CI75" i="153" s="1"/>
  <c r="CL75" i="153" s="1"/>
  <c r="CO75" i="153" s="1"/>
  <c r="CR75" i="153" s="1"/>
  <c r="CU75" i="153" s="1"/>
  <c r="CX18" i="153"/>
  <c r="CZ18" i="153" s="1"/>
  <c r="DB18" i="153"/>
  <c r="DE18" i="153" s="1"/>
  <c r="CX16" i="153"/>
  <c r="CZ16" i="153" s="1"/>
  <c r="DB16" i="153"/>
  <c r="DE16" i="153" s="1"/>
  <c r="CX17" i="153"/>
  <c r="CZ17" i="153" s="1"/>
  <c r="DB17" i="153"/>
  <c r="DE17" i="153" s="1"/>
  <c r="DB42" i="153"/>
  <c r="DE42" i="153" s="1"/>
  <c r="CX42" i="153"/>
  <c r="CZ42" i="153" s="1"/>
  <c r="DB52" i="153"/>
  <c r="DE52" i="153" s="1"/>
  <c r="CX52" i="153"/>
  <c r="CZ52" i="153" s="1"/>
  <c r="DB61" i="153"/>
  <c r="DE61" i="153" s="1"/>
  <c r="CX61" i="153"/>
  <c r="CZ61" i="153" s="1"/>
  <c r="DB8" i="153"/>
  <c r="DE8" i="153" s="1"/>
  <c r="CX8" i="153"/>
  <c r="CZ8" i="153" s="1"/>
  <c r="CX30" i="153"/>
  <c r="CZ30" i="153" s="1"/>
  <c r="DB30" i="153"/>
  <c r="DE30" i="153" s="1"/>
  <c r="DB54" i="153"/>
  <c r="DE54" i="153" s="1"/>
  <c r="CX54" i="153"/>
  <c r="CZ54" i="153" s="1"/>
  <c r="DB11" i="153"/>
  <c r="DE11" i="153" s="1"/>
  <c r="CX11" i="153"/>
  <c r="CZ11" i="153" s="1"/>
  <c r="DB43" i="153"/>
  <c r="DE43" i="153" s="1"/>
  <c r="CX43" i="153"/>
  <c r="CZ43" i="153" s="1"/>
  <c r="CX10" i="153"/>
  <c r="CZ10" i="153" s="1"/>
  <c r="DB10" i="153"/>
  <c r="DE10" i="153" s="1"/>
  <c r="DB15" i="153"/>
  <c r="DE15" i="153" s="1"/>
  <c r="CX15" i="153"/>
  <c r="CZ15" i="153" s="1"/>
  <c r="DB34" i="153"/>
  <c r="DE34" i="153" s="1"/>
  <c r="CX34" i="153"/>
  <c r="CZ34" i="153" s="1"/>
  <c r="DB37" i="153"/>
  <c r="DE37" i="153" s="1"/>
  <c r="CX37" i="153"/>
  <c r="CZ37" i="153" s="1"/>
  <c r="DB46" i="153"/>
  <c r="DE46" i="153" s="1"/>
  <c r="CX46" i="153"/>
  <c r="CZ46" i="153" s="1"/>
  <c r="CX49" i="153"/>
  <c r="CZ49" i="153" s="1"/>
  <c r="DB49" i="153"/>
  <c r="DE49" i="153" s="1"/>
  <c r="CX27" i="153"/>
  <c r="CZ27" i="153" s="1"/>
  <c r="DB27" i="153"/>
  <c r="DE27" i="153" s="1"/>
  <c r="CX40" i="153"/>
  <c r="CZ40" i="153" s="1"/>
  <c r="DB40" i="153"/>
  <c r="DE40" i="153" s="1"/>
  <c r="CX65" i="153"/>
  <c r="CZ65" i="153" s="1"/>
  <c r="DB65" i="153"/>
  <c r="DE65" i="153" s="1"/>
  <c r="DB31" i="153"/>
  <c r="DE31" i="153" s="1"/>
  <c r="CX31" i="153"/>
  <c r="CZ31" i="153" s="1"/>
  <c r="DB55" i="153"/>
  <c r="DE55" i="153" s="1"/>
  <c r="CX55" i="153"/>
  <c r="CZ55" i="153" s="1"/>
  <c r="DB45" i="153"/>
  <c r="DE45" i="153" s="1"/>
  <c r="CX45" i="153"/>
  <c r="CZ45" i="153" s="1"/>
  <c r="DB21" i="153"/>
  <c r="DE21" i="153" s="1"/>
  <c r="CX21" i="153"/>
  <c r="CZ21" i="153" s="1"/>
  <c r="DB24" i="153"/>
  <c r="DE24" i="153" s="1"/>
  <c r="CX24" i="153"/>
  <c r="CZ24" i="153" s="1"/>
  <c r="DB26" i="153"/>
  <c r="DE26" i="153" s="1"/>
  <c r="CX26" i="153"/>
  <c r="CZ26" i="153" s="1"/>
  <c r="DB28" i="153"/>
  <c r="DE28" i="153" s="1"/>
  <c r="CX28" i="153"/>
  <c r="CZ28" i="153" s="1"/>
  <c r="DB23" i="153"/>
  <c r="DE23" i="153" s="1"/>
  <c r="CX23" i="153"/>
  <c r="CZ23" i="153" s="1"/>
  <c r="CX36" i="153"/>
  <c r="CZ36" i="153" s="1"/>
  <c r="DB36" i="153"/>
  <c r="DE36" i="153" s="1"/>
  <c r="DB38" i="153"/>
  <c r="DE38" i="153" s="1"/>
  <c r="CX38" i="153"/>
  <c r="CZ38" i="153" s="1"/>
  <c r="CX47" i="153"/>
  <c r="CZ47" i="153" s="1"/>
  <c r="DB47" i="153"/>
  <c r="DE47" i="153" s="1"/>
  <c r="CX50" i="153"/>
  <c r="CZ50" i="153" s="1"/>
  <c r="DB50" i="153"/>
  <c r="DE50" i="153" s="1"/>
  <c r="DB33" i="153"/>
  <c r="DE33" i="153" s="1"/>
  <c r="CX33" i="153"/>
  <c r="CZ33" i="153" s="1"/>
  <c r="CX44" i="153"/>
  <c r="CZ44" i="153" s="1"/>
  <c r="DB44" i="153"/>
  <c r="DE44" i="153" s="1"/>
  <c r="DB13" i="153"/>
  <c r="DE13" i="153" s="1"/>
  <c r="CX13" i="153"/>
  <c r="CZ13" i="153" s="1"/>
  <c r="DB29" i="153"/>
  <c r="DE29" i="153" s="1"/>
  <c r="CX29" i="153"/>
  <c r="CZ29" i="153" s="1"/>
  <c r="CX57" i="153"/>
  <c r="CZ57" i="153" s="1"/>
  <c r="DB57" i="153"/>
  <c r="DE57" i="153" s="1"/>
  <c r="CX35" i="153"/>
  <c r="CZ35" i="153" s="1"/>
  <c r="DB35" i="153"/>
  <c r="DE35" i="153" s="1"/>
  <c r="DB5" i="153"/>
  <c r="DE5" i="153" s="1"/>
  <c r="CX5" i="153"/>
  <c r="CZ5" i="153" s="1"/>
  <c r="DB41" i="153"/>
  <c r="DE41" i="153" s="1"/>
  <c r="CX41" i="153"/>
  <c r="CZ41" i="153" s="1"/>
  <c r="DB51" i="153"/>
  <c r="DE51" i="153" s="1"/>
  <c r="CX51" i="153"/>
  <c r="CZ51" i="153" s="1"/>
  <c r="CX67" i="153"/>
  <c r="CZ67" i="153" s="1"/>
  <c r="DB67" i="153"/>
  <c r="DE67" i="153" s="1"/>
  <c r="DB7" i="153"/>
  <c r="DE7" i="153" s="1"/>
  <c r="CX7" i="153"/>
  <c r="CZ7" i="153" s="1"/>
  <c r="DB9" i="153"/>
  <c r="DE9" i="153" s="1"/>
  <c r="CX9" i="153"/>
  <c r="CZ9" i="153" s="1"/>
  <c r="DB19" i="153"/>
  <c r="DE19" i="153" s="1"/>
  <c r="CX19" i="153"/>
  <c r="CZ19" i="153" s="1"/>
  <c r="DB56" i="153"/>
  <c r="DE56" i="153" s="1"/>
  <c r="CX56" i="153"/>
  <c r="CZ56" i="153" s="1"/>
  <c r="DB20" i="153"/>
  <c r="DE20" i="153" s="1"/>
  <c r="CX20" i="153"/>
  <c r="CZ20" i="153" s="1"/>
  <c r="DB22" i="153"/>
  <c r="DE22" i="153" s="1"/>
  <c r="CX22" i="153"/>
  <c r="CZ22" i="153" s="1"/>
  <c r="DB6" i="153"/>
  <c r="DE6" i="153" s="1"/>
  <c r="CX6" i="153"/>
  <c r="CZ6" i="153" s="1"/>
  <c r="DB86" i="153"/>
  <c r="DE86" i="153" s="1"/>
  <c r="CX86" i="153"/>
  <c r="CZ86" i="153" s="1"/>
  <c r="CX81" i="153"/>
  <c r="CZ81" i="153" s="1"/>
  <c r="DB81" i="153"/>
  <c r="DE81" i="153" s="1"/>
  <c r="DB69" i="153"/>
  <c r="DE69" i="153" s="1"/>
  <c r="CX69" i="153"/>
  <c r="CZ69" i="153" s="1"/>
  <c r="L25" i="153"/>
  <c r="O25" i="153" s="1"/>
  <c r="R25" i="153" s="1"/>
  <c r="U25" i="153" s="1"/>
  <c r="X25" i="153" s="1"/>
  <c r="AA25" i="153" s="1"/>
  <c r="AD25" i="153" s="1"/>
  <c r="AG25" i="153" s="1"/>
  <c r="AJ25" i="153" s="1"/>
  <c r="AM25" i="153" s="1"/>
  <c r="AP25" i="153" s="1"/>
  <c r="AS25" i="153" s="1"/>
  <c r="AV25" i="153" s="1"/>
  <c r="AY25" i="153" s="1"/>
  <c r="BB25" i="153" s="1"/>
  <c r="BE25" i="153" s="1"/>
  <c r="BH25" i="153" s="1"/>
  <c r="BK25" i="153" s="1"/>
  <c r="BN25" i="153" s="1"/>
  <c r="BQ25" i="153" s="1"/>
  <c r="BT25" i="153" s="1"/>
  <c r="BW25" i="153" s="1"/>
  <c r="BZ25" i="153" s="1"/>
  <c r="CC25" i="153" s="1"/>
  <c r="CF25" i="153" s="1"/>
  <c r="CI25" i="153" s="1"/>
  <c r="CL25" i="153" s="1"/>
  <c r="CO25" i="153" s="1"/>
  <c r="CR25" i="153" s="1"/>
  <c r="CU25" i="153" s="1"/>
  <c r="DB73" i="153"/>
  <c r="DE73" i="153" s="1"/>
  <c r="CX73" i="153"/>
  <c r="CZ73" i="153" s="1"/>
  <c r="DB66" i="153"/>
  <c r="DE66" i="153" s="1"/>
  <c r="CX66" i="153"/>
  <c r="CZ66" i="153" s="1"/>
  <c r="CX91" i="153"/>
  <c r="CZ91" i="153" s="1"/>
  <c r="DB91" i="153"/>
  <c r="DE91" i="153" s="1"/>
  <c r="DB58" i="153"/>
  <c r="DE58" i="153" s="1"/>
  <c r="CX58" i="153"/>
  <c r="CZ58" i="153" s="1"/>
  <c r="CV17" i="153"/>
  <c r="DB70" i="153"/>
  <c r="DE70" i="153" s="1"/>
  <c r="CX70" i="153"/>
  <c r="CZ70" i="153" s="1"/>
  <c r="DB84" i="153"/>
  <c r="DE84" i="153" s="1"/>
  <c r="CX84" i="153"/>
  <c r="CZ84" i="153" s="1"/>
  <c r="DB74" i="153"/>
  <c r="DE74" i="153" s="1"/>
  <c r="CX74" i="153"/>
  <c r="CZ74" i="153" s="1"/>
  <c r="DB77" i="153"/>
  <c r="DE77" i="153" s="1"/>
  <c r="CX77" i="153"/>
  <c r="CZ77" i="153" s="1"/>
  <c r="DB88" i="153"/>
  <c r="DE88" i="153" s="1"/>
  <c r="CX88" i="153"/>
  <c r="CZ88" i="153" s="1"/>
  <c r="DB92" i="153"/>
  <c r="DE92" i="153" s="1"/>
  <c r="CX92" i="153"/>
  <c r="CZ92" i="153" s="1"/>
  <c r="CW15" i="153"/>
  <c r="CW22" i="153"/>
  <c r="DB62" i="153"/>
  <c r="DE62" i="153" s="1"/>
  <c r="CX62" i="153"/>
  <c r="CZ62" i="153" s="1"/>
  <c r="DB80" i="153"/>
  <c r="DE80" i="153" s="1"/>
  <c r="CX80" i="153"/>
  <c r="CZ80" i="153" s="1"/>
  <c r="CW18" i="153"/>
  <c r="DB71" i="153"/>
  <c r="DE71" i="153" s="1"/>
  <c r="CX71" i="153"/>
  <c r="CZ71" i="153" s="1"/>
  <c r="CV15" i="153"/>
  <c r="DB89" i="153"/>
  <c r="DE89" i="153" s="1"/>
  <c r="CX89" i="153"/>
  <c r="CZ89" i="153" s="1"/>
  <c r="DB64" i="153"/>
  <c r="DE64" i="153" s="1"/>
  <c r="CX64" i="153"/>
  <c r="CZ64" i="153" s="1"/>
  <c r="I12" i="153"/>
  <c r="L12" i="153" s="1"/>
  <c r="O12" i="153" s="1"/>
  <c r="R12" i="153" s="1"/>
  <c r="U12" i="153" s="1"/>
  <c r="X12" i="153" s="1"/>
  <c r="AA12" i="153" s="1"/>
  <c r="AD12" i="153" s="1"/>
  <c r="AG12" i="153" s="1"/>
  <c r="AJ12" i="153" s="1"/>
  <c r="AM12" i="153" s="1"/>
  <c r="AP12" i="153" s="1"/>
  <c r="AS12" i="153" s="1"/>
  <c r="AV12" i="153" s="1"/>
  <c r="AY12" i="153" s="1"/>
  <c r="BB12" i="153" s="1"/>
  <c r="BE12" i="153" s="1"/>
  <c r="BH12" i="153" s="1"/>
  <c r="BK12" i="153" s="1"/>
  <c r="BN12" i="153" s="1"/>
  <c r="BQ12" i="153" s="1"/>
  <c r="BT12" i="153" s="1"/>
  <c r="BW12" i="153" s="1"/>
  <c r="BZ12" i="153" s="1"/>
  <c r="CC12" i="153" s="1"/>
  <c r="CF12" i="153" s="1"/>
  <c r="CI12" i="153" s="1"/>
  <c r="CL12" i="153" s="1"/>
  <c r="CO12" i="153" s="1"/>
  <c r="CR12" i="153" s="1"/>
  <c r="CU12" i="153" s="1"/>
  <c r="DB85" i="153"/>
  <c r="DE85" i="153" s="1"/>
  <c r="CX85" i="153"/>
  <c r="CZ85" i="153" s="1"/>
  <c r="L14" i="153"/>
  <c r="O14" i="153" s="1"/>
  <c r="R14" i="153" s="1"/>
  <c r="U14" i="153" s="1"/>
  <c r="X14" i="153" s="1"/>
  <c r="AA14" i="153" s="1"/>
  <c r="AD14" i="153" s="1"/>
  <c r="AG14" i="153" s="1"/>
  <c r="AJ14" i="153" s="1"/>
  <c r="AM14" i="153" s="1"/>
  <c r="AP14" i="153" s="1"/>
  <c r="AS14" i="153" s="1"/>
  <c r="AV14" i="153" s="1"/>
  <c r="AY14" i="153" s="1"/>
  <c r="BB14" i="153" s="1"/>
  <c r="BE14" i="153" s="1"/>
  <c r="BH14" i="153" s="1"/>
  <c r="BK14" i="153" s="1"/>
  <c r="BN14" i="153" s="1"/>
  <c r="BQ14" i="153" s="1"/>
  <c r="BT14" i="153" s="1"/>
  <c r="CW16" i="153"/>
  <c r="CW36" i="153"/>
  <c r="DB68" i="153"/>
  <c r="DE68" i="153" s="1"/>
  <c r="CX68" i="153"/>
  <c r="CZ68" i="153" s="1"/>
  <c r="DB90" i="153"/>
  <c r="DE90" i="153" s="1"/>
  <c r="CX90" i="153"/>
  <c r="CZ90" i="153" s="1"/>
  <c r="DB72" i="153"/>
  <c r="DE72" i="153" s="1"/>
  <c r="CX72" i="153"/>
  <c r="CZ72" i="153" s="1"/>
  <c r="CW21" i="153"/>
  <c r="L32" i="153"/>
  <c r="O32" i="153" s="1"/>
  <c r="R32" i="153" s="1"/>
  <c r="U32" i="153" s="1"/>
  <c r="X32" i="153" s="1"/>
  <c r="AA32" i="153" s="1"/>
  <c r="AD32" i="153" s="1"/>
  <c r="AG32" i="153" s="1"/>
  <c r="AJ32" i="153" s="1"/>
  <c r="AM32" i="153" s="1"/>
  <c r="AP32" i="153" s="1"/>
  <c r="AS32" i="153" s="1"/>
  <c r="AV32" i="153" s="1"/>
  <c r="AY32" i="153" s="1"/>
  <c r="BB32" i="153" s="1"/>
  <c r="BE32" i="153" s="1"/>
  <c r="BH32" i="153" s="1"/>
  <c r="BK32" i="153" s="1"/>
  <c r="BN32" i="153" s="1"/>
  <c r="BQ32" i="153" s="1"/>
  <c r="BT32" i="153" s="1"/>
  <c r="BW32" i="153" s="1"/>
  <c r="BZ32" i="153" s="1"/>
  <c r="CC32" i="153" s="1"/>
  <c r="CF32" i="153" s="1"/>
  <c r="CI32" i="153" s="1"/>
  <c r="CL32" i="153" s="1"/>
  <c r="CO32" i="153" s="1"/>
  <c r="CR32" i="153" s="1"/>
  <c r="CU32" i="153" s="1"/>
  <c r="CW60" i="153"/>
  <c r="I60" i="153"/>
  <c r="L60" i="153" s="1"/>
  <c r="O60" i="153" s="1"/>
  <c r="R60" i="153" s="1"/>
  <c r="U60" i="153" s="1"/>
  <c r="X60" i="153" s="1"/>
  <c r="AA60" i="153" s="1"/>
  <c r="AD60" i="153" s="1"/>
  <c r="AG60" i="153" s="1"/>
  <c r="AJ60" i="153" s="1"/>
  <c r="AM60" i="153" s="1"/>
  <c r="AP60" i="153" s="1"/>
  <c r="AS60" i="153" s="1"/>
  <c r="AV60" i="153" s="1"/>
  <c r="AY60" i="153" s="1"/>
  <c r="BB60" i="153" s="1"/>
  <c r="BE60" i="153" s="1"/>
  <c r="BH60" i="153" s="1"/>
  <c r="BK60" i="153" s="1"/>
  <c r="BN60" i="153" s="1"/>
  <c r="BQ60" i="153" s="1"/>
  <c r="BT60" i="153" s="1"/>
  <c r="BW60" i="153" s="1"/>
  <c r="BZ60" i="153" s="1"/>
  <c r="CC60" i="153" s="1"/>
  <c r="CF60" i="153" s="1"/>
  <c r="CI60" i="153" s="1"/>
  <c r="CL60" i="153" s="1"/>
  <c r="CO60" i="153" s="1"/>
  <c r="CR60" i="153" s="1"/>
  <c r="CU60" i="153" s="1"/>
  <c r="DB79" i="153"/>
  <c r="DE79" i="153" s="1"/>
  <c r="CX79" i="153"/>
  <c r="CZ79" i="153" s="1"/>
  <c r="CW39" i="153"/>
  <c r="I39" i="153"/>
  <c r="L39" i="153" s="1"/>
  <c r="O39" i="153" s="1"/>
  <c r="R39" i="153" s="1"/>
  <c r="U39" i="153" s="1"/>
  <c r="X39" i="153" s="1"/>
  <c r="AA39" i="153" s="1"/>
  <c r="AD39" i="153" s="1"/>
  <c r="AG39" i="153" s="1"/>
  <c r="AJ39" i="153" s="1"/>
  <c r="AM39" i="153" s="1"/>
  <c r="AP39" i="153" s="1"/>
  <c r="AS39" i="153" s="1"/>
  <c r="AV39" i="153" s="1"/>
  <c r="AY39" i="153" s="1"/>
  <c r="BB39" i="153" s="1"/>
  <c r="BE39" i="153" s="1"/>
  <c r="BH39" i="153" s="1"/>
  <c r="BK39" i="153" s="1"/>
  <c r="BN39" i="153" s="1"/>
  <c r="BQ39" i="153" s="1"/>
  <c r="BT39" i="153" s="1"/>
  <c r="BW39" i="153" s="1"/>
  <c r="BZ39" i="153" s="1"/>
  <c r="CC39" i="153" s="1"/>
  <c r="CF39" i="153" s="1"/>
  <c r="CI39" i="153" s="1"/>
  <c r="CL39" i="153" s="1"/>
  <c r="CO39" i="153" s="1"/>
  <c r="CR39" i="153" s="1"/>
  <c r="CU39" i="153" s="1"/>
  <c r="CW40" i="153"/>
  <c r="I59" i="153"/>
  <c r="L59" i="153" s="1"/>
  <c r="O59" i="153" s="1"/>
  <c r="R59" i="153" s="1"/>
  <c r="U59" i="153" s="1"/>
  <c r="X59" i="153" s="1"/>
  <c r="AA59" i="153" s="1"/>
  <c r="AD59" i="153" s="1"/>
  <c r="AG59" i="153" s="1"/>
  <c r="AJ59" i="153" s="1"/>
  <c r="AM59" i="153" s="1"/>
  <c r="AP59" i="153" s="1"/>
  <c r="AS59" i="153" s="1"/>
  <c r="AV59" i="153" s="1"/>
  <c r="AY59" i="153" s="1"/>
  <c r="BB59" i="153" s="1"/>
  <c r="BE59" i="153" s="1"/>
  <c r="BH59" i="153" s="1"/>
  <c r="BK59" i="153" s="1"/>
  <c r="BN59" i="153" s="1"/>
  <c r="BQ59" i="153" s="1"/>
  <c r="BT59" i="153" s="1"/>
  <c r="BW59" i="153" s="1"/>
  <c r="BZ59" i="153" s="1"/>
  <c r="CC59" i="153" s="1"/>
  <c r="CF59" i="153" s="1"/>
  <c r="CI59" i="153" s="1"/>
  <c r="CL59" i="153" s="1"/>
  <c r="CO59" i="153" s="1"/>
  <c r="CR59" i="153" s="1"/>
  <c r="CU59" i="153" s="1"/>
  <c r="CV59" i="153"/>
  <c r="O63" i="153"/>
  <c r="R63" i="153" s="1"/>
  <c r="U63" i="153" s="1"/>
  <c r="X63" i="153" s="1"/>
  <c r="AA63" i="153" s="1"/>
  <c r="AD63" i="153" s="1"/>
  <c r="AG63" i="153" s="1"/>
  <c r="AJ63" i="153" s="1"/>
  <c r="AM63" i="153" s="1"/>
  <c r="AP63" i="153" s="1"/>
  <c r="AS63" i="153" s="1"/>
  <c r="AV63" i="153" s="1"/>
  <c r="AY63" i="153" s="1"/>
  <c r="BB63" i="153" s="1"/>
  <c r="BE63" i="153" s="1"/>
  <c r="BH63" i="153" s="1"/>
  <c r="BK63" i="153" s="1"/>
  <c r="BN63" i="153" s="1"/>
  <c r="BQ63" i="153" s="1"/>
  <c r="BT63" i="153" s="1"/>
  <c r="BW63" i="153" s="1"/>
  <c r="BZ63" i="153" s="1"/>
  <c r="CC63" i="153" s="1"/>
  <c r="CF63" i="153" s="1"/>
  <c r="CI63" i="153" s="1"/>
  <c r="CL63" i="153" s="1"/>
  <c r="CO63" i="153" s="1"/>
  <c r="CR63" i="153" s="1"/>
  <c r="CU63" i="153" s="1"/>
  <c r="O48" i="153"/>
  <c r="R48" i="153" s="1"/>
  <c r="U48" i="153" s="1"/>
  <c r="X48" i="153" s="1"/>
  <c r="AA48" i="153" s="1"/>
  <c r="AD48" i="153" s="1"/>
  <c r="AG48" i="153" s="1"/>
  <c r="AJ48" i="153" s="1"/>
  <c r="AM48" i="153" s="1"/>
  <c r="AP48" i="153" s="1"/>
  <c r="AS48" i="153" s="1"/>
  <c r="AV48" i="153" s="1"/>
  <c r="AY48" i="153" s="1"/>
  <c r="BB48" i="153" s="1"/>
  <c r="BE48" i="153" s="1"/>
  <c r="BH48" i="153" s="1"/>
  <c r="BK48" i="153" s="1"/>
  <c r="BN48" i="153" s="1"/>
  <c r="BQ48" i="153" s="1"/>
  <c r="BT48" i="153" s="1"/>
  <c r="BW48" i="153" s="1"/>
  <c r="BZ48" i="153" s="1"/>
  <c r="CC48" i="153" s="1"/>
  <c r="CF48" i="153" s="1"/>
  <c r="CI48" i="153" s="1"/>
  <c r="CL48" i="153" s="1"/>
  <c r="CO48" i="153" s="1"/>
  <c r="CR48" i="153" s="1"/>
  <c r="CU48" i="153" s="1"/>
  <c r="CW58" i="153"/>
  <c r="CW48" i="153"/>
  <c r="CW63" i="153"/>
  <c r="CW43" i="153"/>
  <c r="CW53" i="153"/>
  <c r="I53" i="153"/>
  <c r="L53" i="153" s="1"/>
  <c r="O53" i="153" s="1"/>
  <c r="R53" i="153" s="1"/>
  <c r="U53" i="153" s="1"/>
  <c r="X53" i="153" s="1"/>
  <c r="AA53" i="153" s="1"/>
  <c r="AD53" i="153" s="1"/>
  <c r="AG53" i="153" s="1"/>
  <c r="AJ53" i="153" s="1"/>
  <c r="AM53" i="153" s="1"/>
  <c r="AP53" i="153" s="1"/>
  <c r="AS53" i="153" s="1"/>
  <c r="AV53" i="153" s="1"/>
  <c r="AY53" i="153" s="1"/>
  <c r="BB53" i="153" s="1"/>
  <c r="BE53" i="153" s="1"/>
  <c r="BH53" i="153" s="1"/>
  <c r="BK53" i="153" s="1"/>
  <c r="BN53" i="153" s="1"/>
  <c r="BQ53" i="153" s="1"/>
  <c r="BT53" i="153" s="1"/>
  <c r="BW53" i="153" s="1"/>
  <c r="BZ53" i="153" s="1"/>
  <c r="CC53" i="153" s="1"/>
  <c r="CF53" i="153" s="1"/>
  <c r="CI53" i="153" s="1"/>
  <c r="CL53" i="153" s="1"/>
  <c r="CO53" i="153" s="1"/>
  <c r="CR53" i="153" s="1"/>
  <c r="CU53" i="153" s="1"/>
  <c r="DB93" i="153"/>
  <c r="DE93" i="153" s="1"/>
  <c r="CX93" i="153"/>
  <c r="CZ93" i="153" s="1"/>
  <c r="DB87" i="153"/>
  <c r="DE87" i="153" s="1"/>
  <c r="CX87" i="153"/>
  <c r="CZ87" i="153" s="1"/>
  <c r="CW59" i="153"/>
  <c r="CV60" i="153"/>
  <c r="CV65" i="153"/>
  <c r="L83" i="153"/>
  <c r="O83" i="153" s="1"/>
  <c r="R83" i="153" s="1"/>
  <c r="U83" i="153" s="1"/>
  <c r="X83" i="153" s="1"/>
  <c r="AA83" i="153" s="1"/>
  <c r="AD83" i="153" s="1"/>
  <c r="AG83" i="153" s="1"/>
  <c r="AJ83" i="153" s="1"/>
  <c r="AM83" i="153" s="1"/>
  <c r="AP83" i="153" s="1"/>
  <c r="AS83" i="153" s="1"/>
  <c r="AV83" i="153" s="1"/>
  <c r="AY83" i="153" s="1"/>
  <c r="BB83" i="153" s="1"/>
  <c r="BE83" i="153" s="1"/>
  <c r="BH83" i="153" s="1"/>
  <c r="BK83" i="153" s="1"/>
  <c r="BN83" i="153" s="1"/>
  <c r="BQ83" i="153" s="1"/>
  <c r="BT83" i="153" s="1"/>
  <c r="BW83" i="153" s="1"/>
  <c r="BZ83" i="153" s="1"/>
  <c r="CC83" i="153" s="1"/>
  <c r="CF83" i="153" s="1"/>
  <c r="CI83" i="153" s="1"/>
  <c r="CL83" i="153" s="1"/>
  <c r="CO83" i="153" s="1"/>
  <c r="CR83" i="153" s="1"/>
  <c r="CU83" i="153" s="1"/>
  <c r="CW82" i="153"/>
  <c r="I82" i="153"/>
  <c r="L82" i="153" s="1"/>
  <c r="O82" i="153" s="1"/>
  <c r="R82" i="153" s="1"/>
  <c r="U82" i="153" s="1"/>
  <c r="X82" i="153" s="1"/>
  <c r="AA82" i="153" s="1"/>
  <c r="AD82" i="153" s="1"/>
  <c r="AG82" i="153" s="1"/>
  <c r="AJ82" i="153" s="1"/>
  <c r="AM82" i="153" s="1"/>
  <c r="AP82" i="153" s="1"/>
  <c r="AS82" i="153" s="1"/>
  <c r="AV82" i="153" s="1"/>
  <c r="AY82" i="153" s="1"/>
  <c r="BB82" i="153" s="1"/>
  <c r="BE82" i="153" s="1"/>
  <c r="BH82" i="153" s="1"/>
  <c r="BK82" i="153" s="1"/>
  <c r="BN82" i="153" s="1"/>
  <c r="BQ82" i="153" s="1"/>
  <c r="BT82" i="153" s="1"/>
  <c r="BW82" i="153" s="1"/>
  <c r="BZ82" i="153" s="1"/>
  <c r="CC82" i="153" s="1"/>
  <c r="CF82" i="153" s="1"/>
  <c r="CI82" i="153" s="1"/>
  <c r="CL82" i="153" s="1"/>
  <c r="CO82" i="153" s="1"/>
  <c r="CR82" i="153" s="1"/>
  <c r="CU82" i="153" s="1"/>
  <c r="I76" i="153"/>
  <c r="L76" i="153" s="1"/>
  <c r="O76" i="153" s="1"/>
  <c r="R76" i="153" s="1"/>
  <c r="U76" i="153" s="1"/>
  <c r="X76" i="153" s="1"/>
  <c r="AA76" i="153" s="1"/>
  <c r="AD76" i="153" s="1"/>
  <c r="AG76" i="153" s="1"/>
  <c r="AJ76" i="153" s="1"/>
  <c r="AM76" i="153" s="1"/>
  <c r="AP76" i="153" s="1"/>
  <c r="AS76" i="153" s="1"/>
  <c r="AV76" i="153" s="1"/>
  <c r="AY76" i="153" s="1"/>
  <c r="BB76" i="153" s="1"/>
  <c r="BE76" i="153" s="1"/>
  <c r="BH76" i="153" s="1"/>
  <c r="BK76" i="153" s="1"/>
  <c r="BN76" i="153" s="1"/>
  <c r="BQ76" i="153" s="1"/>
  <c r="BT76" i="153" s="1"/>
  <c r="BW76" i="153" s="1"/>
  <c r="BZ76" i="153" s="1"/>
  <c r="CC76" i="153" s="1"/>
  <c r="CF76" i="153" s="1"/>
  <c r="CI76" i="153" s="1"/>
  <c r="CL76" i="153" s="1"/>
  <c r="CO76" i="153" s="1"/>
  <c r="CR76" i="153" s="1"/>
  <c r="CU76" i="153" s="1"/>
  <c r="CQ22" i="152"/>
  <c r="CQ15" i="152"/>
  <c r="CQ80" i="152"/>
  <c r="CQ77" i="152"/>
  <c r="CH8" i="152"/>
  <c r="CM76" i="152"/>
  <c r="CM60" i="152"/>
  <c r="CM32" i="152"/>
  <c r="CM29" i="152"/>
  <c r="CM17" i="152"/>
  <c r="CM12" i="152"/>
  <c r="CN76" i="152"/>
  <c r="CN63" i="152"/>
  <c r="CN59" i="152"/>
  <c r="CN17" i="152"/>
  <c r="CN29" i="152"/>
  <c r="CN12" i="152"/>
  <c r="CN32" i="152"/>
  <c r="CN15" i="152"/>
  <c r="DB75" i="153" l="1"/>
  <c r="DE75" i="153" s="1"/>
  <c r="CX75" i="153"/>
  <c r="CZ75" i="153" s="1"/>
  <c r="DB60" i="153"/>
  <c r="DE60" i="153" s="1"/>
  <c r="CX60" i="153"/>
  <c r="CZ60" i="153" s="1"/>
  <c r="DB32" i="153"/>
  <c r="DE32" i="153" s="1"/>
  <c r="CX32" i="153"/>
  <c r="CZ32" i="153" s="1"/>
  <c r="DB12" i="153"/>
  <c r="DE12" i="153" s="1"/>
  <c r="CX12" i="153"/>
  <c r="CZ12" i="153" s="1"/>
  <c r="DB25" i="153"/>
  <c r="DE25" i="153" s="1"/>
  <c r="CX25" i="153"/>
  <c r="CZ25" i="153" s="1"/>
  <c r="DB82" i="153"/>
  <c r="DE82" i="153" s="1"/>
  <c r="CX82" i="153"/>
  <c r="CZ82" i="153" s="1"/>
  <c r="DB48" i="153"/>
  <c r="DE48" i="153" s="1"/>
  <c r="CX48" i="153"/>
  <c r="CZ48" i="153" s="1"/>
  <c r="CX76" i="153"/>
  <c r="CZ76" i="153" s="1"/>
  <c r="DB76" i="153"/>
  <c r="DE76" i="153" s="1"/>
  <c r="DB63" i="153"/>
  <c r="DE63" i="153" s="1"/>
  <c r="CX63" i="153"/>
  <c r="CZ63" i="153" s="1"/>
  <c r="CX83" i="153"/>
  <c r="CZ83" i="153" s="1"/>
  <c r="DB83" i="153"/>
  <c r="DE83" i="153" s="1"/>
  <c r="DB59" i="153"/>
  <c r="DE59" i="153" s="1"/>
  <c r="CX59" i="153"/>
  <c r="CZ59" i="153" s="1"/>
  <c r="CX53" i="153"/>
  <c r="CZ53" i="153" s="1"/>
  <c r="DB53" i="153"/>
  <c r="DE53" i="153" s="1"/>
  <c r="DB39" i="153"/>
  <c r="DE39" i="153" s="1"/>
  <c r="CX39" i="153"/>
  <c r="CZ39" i="153" s="1"/>
  <c r="CH27" i="152"/>
  <c r="CH23" i="152"/>
  <c r="CH22" i="152"/>
  <c r="CH14" i="152"/>
  <c r="CH40" i="152"/>
  <c r="CH24" i="152"/>
  <c r="CH15" i="152"/>
  <c r="CH13" i="152"/>
  <c r="CN60" i="152"/>
  <c r="CN27" i="152"/>
  <c r="CN23" i="152"/>
  <c r="CN16" i="152"/>
  <c r="CN14" i="152"/>
  <c r="CN13" i="152"/>
  <c r="CN6" i="152"/>
  <c r="CN25" i="152"/>
  <c r="CN48" i="152"/>
  <c r="CN58" i="152"/>
  <c r="CN77" i="152"/>
  <c r="CN22" i="152"/>
  <c r="CN80" i="152"/>
  <c r="CN18" i="152"/>
  <c r="CK16" i="152"/>
  <c r="CK14" i="152" l="1"/>
  <c r="CK39" i="152"/>
  <c r="CK29" i="152"/>
  <c r="CG26" i="152"/>
  <c r="CH60" i="152"/>
  <c r="CH77" i="152"/>
  <c r="CH16" i="152"/>
  <c r="CH25" i="152"/>
  <c r="CG76" i="152"/>
  <c r="CG60" i="152"/>
  <c r="CG39" i="152"/>
  <c r="CG36" i="152"/>
  <c r="CG29" i="152"/>
  <c r="CG17" i="152"/>
  <c r="CH82" i="152"/>
  <c r="CH76" i="152"/>
  <c r="CH63" i="152"/>
  <c r="CH59" i="152"/>
  <c r="CH17" i="152"/>
  <c r="CH29" i="152"/>
  <c r="CH39" i="152"/>
  <c r="CH12" i="152"/>
  <c r="CH32" i="152"/>
  <c r="CH65" i="152"/>
  <c r="CH53" i="152"/>
  <c r="CD36" i="152"/>
  <c r="CH6" i="152"/>
  <c r="CH43" i="152"/>
  <c r="CH48" i="152"/>
  <c r="CD83" i="152"/>
  <c r="CD76" i="152"/>
  <c r="CD65" i="152"/>
  <c r="CD60" i="152"/>
  <c r="CD35" i="152"/>
  <c r="CD32" i="152"/>
  <c r="CD29" i="152"/>
  <c r="CD17" i="152"/>
  <c r="CD12" i="152"/>
  <c r="CE76" i="152"/>
  <c r="CE63" i="152"/>
  <c r="CE59" i="152"/>
  <c r="CE17" i="152"/>
  <c r="CE29" i="152"/>
  <c r="CE39" i="152"/>
  <c r="CE12" i="152"/>
  <c r="CE32" i="152"/>
  <c r="CE15" i="152"/>
  <c r="CE65" i="152"/>
  <c r="CE60" i="152"/>
  <c r="CE36" i="152"/>
  <c r="CE23" i="152"/>
  <c r="CE16" i="152"/>
  <c r="CE14" i="152"/>
  <c r="BY29" i="152"/>
  <c r="BY6" i="152"/>
  <c r="BY8" i="152"/>
  <c r="BY60" i="152"/>
  <c r="BX29" i="152"/>
  <c r="BX76" i="152"/>
  <c r="BX36" i="152"/>
  <c r="BX32" i="152"/>
  <c r="BX17" i="152"/>
  <c r="BX12" i="152"/>
  <c r="BY76" i="152"/>
  <c r="BY63" i="152"/>
  <c r="BY59" i="152"/>
  <c r="BY17" i="152"/>
  <c r="BY39" i="152"/>
  <c r="BY12" i="152"/>
  <c r="BY32" i="152"/>
  <c r="BY36" i="152" l="1"/>
  <c r="BY27" i="152"/>
  <c r="BY25" i="152"/>
  <c r="BY23" i="152"/>
  <c r="BY16" i="152"/>
  <c r="BY15" i="152"/>
  <c r="BY14" i="152"/>
  <c r="BU17" i="152"/>
  <c r="K27" i="152"/>
  <c r="N39" i="152"/>
  <c r="CE40" i="152"/>
  <c r="CE27" i="152"/>
  <c r="CE22" i="152"/>
  <c r="CE58" i="152"/>
  <c r="CE77" i="152"/>
  <c r="CE47" i="152"/>
  <c r="CE13" i="152"/>
  <c r="CE25" i="152"/>
  <c r="BY13" i="152"/>
  <c r="BY40" i="152"/>
  <c r="BY47" i="152"/>
  <c r="BY48" i="152"/>
  <c r="BY77" i="152"/>
  <c r="BU26" i="152"/>
  <c r="BU76" i="152"/>
  <c r="BU12" i="152"/>
  <c r="BU36" i="152"/>
  <c r="BU15" i="152"/>
  <c r="BV76" i="152"/>
  <c r="BV63" i="152"/>
  <c r="BV59" i="152"/>
  <c r="BV17" i="152"/>
  <c r="BV29" i="152"/>
  <c r="BV39" i="152"/>
  <c r="BV12" i="152"/>
  <c r="BV32" i="152"/>
  <c r="BV15" i="152"/>
  <c r="BR15" i="152" l="1"/>
  <c r="BV60" i="152"/>
  <c r="BV25" i="152"/>
  <c r="BV23" i="152"/>
  <c r="BV53" i="152"/>
  <c r="BV14" i="152"/>
  <c r="BV16" i="152"/>
  <c r="BS48" i="152" l="1"/>
  <c r="BS40" i="152"/>
  <c r="BV40" i="152"/>
  <c r="BV65" i="152"/>
  <c r="BR23" i="152"/>
  <c r="BR60" i="152"/>
  <c r="BV82" i="152"/>
  <c r="BV27" i="152"/>
  <c r="BV13" i="152"/>
  <c r="BV22" i="152"/>
  <c r="BV80" i="152"/>
  <c r="BV48" i="152"/>
  <c r="BV77" i="152"/>
  <c r="BV18" i="152"/>
  <c r="BV6" i="152"/>
  <c r="BS6" i="152"/>
  <c r="BS15" i="152"/>
  <c r="BS77" i="152"/>
  <c r="BR76" i="152"/>
  <c r="BR29" i="152"/>
  <c r="BR17" i="152"/>
  <c r="BR12" i="152"/>
  <c r="BS76" i="152" l="1"/>
  <c r="BS63" i="152"/>
  <c r="BS59" i="152"/>
  <c r="BS17" i="152"/>
  <c r="BS29" i="152"/>
  <c r="BS12" i="152"/>
  <c r="BS32" i="152"/>
  <c r="BS60" i="152" l="1"/>
  <c r="BS27" i="152"/>
  <c r="BS14" i="152"/>
  <c r="BS16" i="152"/>
  <c r="BS80" i="152"/>
  <c r="BJ12" i="152"/>
  <c r="BP25" i="152"/>
  <c r="BP65" i="152"/>
  <c r="BP16" i="152"/>
  <c r="BL76" i="152"/>
  <c r="BS13" i="152"/>
  <c r="BS19" i="152"/>
  <c r="BS18" i="152"/>
  <c r="BS25" i="152"/>
  <c r="BS22" i="152"/>
  <c r="BS58" i="152"/>
  <c r="BP60" i="152"/>
  <c r="BP53" i="152"/>
  <c r="BP14" i="152"/>
  <c r="BL60" i="152"/>
  <c r="BL59" i="152"/>
  <c r="BL36" i="152"/>
  <c r="BL35" i="152"/>
  <c r="BL32" i="152"/>
  <c r="BL29" i="152"/>
  <c r="BL12" i="152"/>
  <c r="BM63" i="152"/>
  <c r="BM59" i="152"/>
  <c r="BM29" i="152"/>
  <c r="BM12" i="152"/>
  <c r="BM32" i="152"/>
  <c r="BM60" i="152" l="1"/>
  <c r="BM53" i="152"/>
  <c r="BM36" i="152"/>
  <c r="BM35" i="152"/>
  <c r="BM23" i="152"/>
  <c r="BM16" i="152"/>
  <c r="BM14" i="152"/>
  <c r="BP40" i="152"/>
  <c r="BP27" i="152"/>
  <c r="BP22" i="152"/>
  <c r="BP43" i="152"/>
  <c r="BP59" i="152"/>
  <c r="BP77" i="152"/>
  <c r="BP58" i="152"/>
  <c r="BP15" i="152"/>
  <c r="BP13" i="152"/>
  <c r="BP6" i="152"/>
  <c r="BP48" i="152"/>
  <c r="BI15" i="152"/>
  <c r="BI18" i="152"/>
  <c r="BM48" i="152"/>
  <c r="BI63" i="152"/>
  <c r="BM40" i="152"/>
  <c r="BM27" i="152"/>
  <c r="BM25" i="152"/>
  <c r="BM15" i="152"/>
  <c r="BM6" i="152"/>
  <c r="BM13" i="152"/>
  <c r="BM77" i="152"/>
  <c r="BM18" i="152"/>
  <c r="BM43" i="152"/>
  <c r="BI76" i="152"/>
  <c r="BJ76" i="152"/>
  <c r="BC76" i="152"/>
  <c r="BI35" i="152"/>
  <c r="BJ32" i="152"/>
  <c r="BI32" i="152"/>
  <c r="BD63" i="152"/>
  <c r="BD40" i="152"/>
  <c r="BD48" i="152"/>
  <c r="BD13" i="152"/>
  <c r="BI60" i="152" l="1"/>
  <c r="BI36" i="152"/>
  <c r="BI29" i="152"/>
  <c r="BI17" i="152"/>
  <c r="BJ63" i="152"/>
  <c r="BJ59" i="152"/>
  <c r="BJ17" i="152"/>
  <c r="BJ29" i="152"/>
  <c r="BJ65" i="152" l="1"/>
  <c r="BJ60" i="152"/>
  <c r="BJ35" i="152"/>
  <c r="BJ23" i="152"/>
  <c r="BJ16" i="152"/>
  <c r="BJ14" i="152"/>
  <c r="BD14" i="152"/>
  <c r="BD32" i="152"/>
  <c r="BD65" i="152"/>
  <c r="BD27" i="152"/>
  <c r="BD22" i="152"/>
  <c r="BD15" i="152"/>
  <c r="BD60" i="152"/>
  <c r="BD58" i="152"/>
  <c r="BD77" i="152"/>
  <c r="BD19" i="152"/>
  <c r="BD16" i="152"/>
  <c r="BD25" i="152"/>
  <c r="BC60" i="152"/>
  <c r="BC59" i="152"/>
  <c r="BC53" i="152"/>
  <c r="BC39" i="152"/>
  <c r="BC36" i="152"/>
  <c r="BC32" i="152"/>
  <c r="BC17" i="152"/>
  <c r="BC14" i="152"/>
  <c r="BC12" i="152"/>
  <c r="BD17" i="152"/>
  <c r="BD76" i="152"/>
  <c r="BD59" i="152"/>
  <c r="BD29" i="152"/>
  <c r="BD12" i="152"/>
  <c r="BD23" i="152" l="1"/>
  <c r="AX58" i="152"/>
  <c r="AX40" i="152"/>
  <c r="AX27" i="152"/>
  <c r="BA14" i="152"/>
  <c r="BA22" i="152"/>
  <c r="BA27" i="152"/>
  <c r="BA40" i="152"/>
  <c r="BA77" i="152"/>
  <c r="BA58" i="152"/>
  <c r="BA15" i="152"/>
  <c r="BA48" i="152"/>
  <c r="BA60" i="152"/>
  <c r="BA29" i="152"/>
  <c r="AZ76" i="152" l="1"/>
  <c r="AZ59" i="152"/>
  <c r="AZ36" i="152"/>
  <c r="AZ32" i="152"/>
  <c r="AZ29" i="152"/>
  <c r="AZ17" i="152"/>
  <c r="AZ12" i="152"/>
  <c r="BA63" i="152"/>
  <c r="BA59" i="152"/>
  <c r="BA12" i="152"/>
  <c r="BA32" i="152"/>
  <c r="H26" i="152"/>
  <c r="BA23" i="152"/>
  <c r="BA16" i="152"/>
  <c r="AX32" i="152"/>
  <c r="AW17" i="152"/>
  <c r="AW60" i="152"/>
  <c r="AX23" i="152"/>
  <c r="AX22" i="152"/>
  <c r="AX14" i="152"/>
  <c r="AX15" i="152"/>
  <c r="AX60" i="152"/>
  <c r="AX80" i="152"/>
  <c r="AX16" i="152"/>
  <c r="AX77" i="152"/>
  <c r="AX25" i="152"/>
  <c r="AW76" i="152"/>
  <c r="AW12" i="152"/>
  <c r="AX17" i="152"/>
  <c r="AW35" i="152"/>
  <c r="AW32" i="152"/>
  <c r="AW29" i="152"/>
  <c r="AX63" i="152"/>
  <c r="AX59" i="152"/>
  <c r="AX29" i="152"/>
  <c r="AX12" i="152"/>
  <c r="AX55" i="152"/>
  <c r="AX53" i="152"/>
  <c r="AX35" i="152"/>
  <c r="AR14" i="152" l="1"/>
  <c r="AR22" i="152"/>
  <c r="AR27" i="152"/>
  <c r="AR40" i="152"/>
  <c r="AQ15" i="152"/>
  <c r="AR15" i="152"/>
  <c r="AR6" i="152"/>
  <c r="AR25" i="152"/>
  <c r="AR48" i="152"/>
  <c r="AR58" i="152"/>
  <c r="AR60" i="152"/>
  <c r="AR77" i="152"/>
  <c r="AR32" i="152"/>
  <c r="AR16" i="152"/>
  <c r="AR13" i="152"/>
  <c r="AR35" i="152"/>
  <c r="AR19" i="152"/>
  <c r="AR45" i="152"/>
  <c r="AR29" i="152"/>
  <c r="AR80" i="152"/>
  <c r="AQ80" i="152"/>
  <c r="AQ27" i="152"/>
  <c r="AR18" i="152"/>
  <c r="AO22" i="152"/>
  <c r="AR36" i="152"/>
  <c r="AQ32" i="152"/>
  <c r="AQ76" i="152"/>
  <c r="AQ39" i="152"/>
  <c r="AQ36" i="152"/>
  <c r="AQ29" i="152"/>
  <c r="AR83" i="152"/>
  <c r="AR63" i="152"/>
  <c r="AR59" i="152"/>
  <c r="AR17" i="152"/>
  <c r="AR12" i="152"/>
  <c r="AQ65" i="152" l="1"/>
  <c r="AO65" i="152"/>
  <c r="AN65" i="152"/>
  <c r="AO36" i="152"/>
  <c r="AO16" i="152"/>
  <c r="AO40" i="152" l="1"/>
  <c r="AO25" i="152"/>
  <c r="AO6" i="152"/>
  <c r="AO27" i="152"/>
  <c r="AO59" i="152"/>
  <c r="AO58" i="152"/>
  <c r="AO48" i="152"/>
  <c r="AO77" i="152"/>
  <c r="AO14" i="152"/>
  <c r="AO15" i="152"/>
  <c r="AO29" i="152"/>
  <c r="AI36" i="152"/>
  <c r="AI12" i="152"/>
  <c r="AI17" i="152"/>
  <c r="AN76" i="152"/>
  <c r="AN32" i="152"/>
  <c r="AN29" i="152"/>
  <c r="AN17" i="152"/>
  <c r="AO76" i="152"/>
  <c r="AO63" i="152"/>
  <c r="AO17" i="152"/>
  <c r="AO12" i="152"/>
  <c r="AO32" i="152"/>
  <c r="AI65" i="152"/>
  <c r="AO60" i="152"/>
  <c r="AI40" i="152"/>
  <c r="AI16" i="152"/>
  <c r="AI47" i="152"/>
  <c r="AI15" i="152"/>
  <c r="AI13" i="152"/>
  <c r="AI48" i="152"/>
  <c r="AI39" i="152"/>
  <c r="AI60" i="152"/>
  <c r="AI23" i="152"/>
  <c r="AI14" i="152"/>
  <c r="AI27" i="152"/>
  <c r="AI58" i="152"/>
  <c r="AI77" i="152"/>
  <c r="AI25" i="152"/>
  <c r="AI29" i="152"/>
  <c r="AI22" i="152"/>
  <c r="AI59" i="152"/>
  <c r="AF59" i="152"/>
  <c r="AH32" i="152"/>
  <c r="AH76" i="152"/>
  <c r="AH36" i="152"/>
  <c r="AH35" i="152"/>
  <c r="AH16" i="152"/>
  <c r="AH6" i="152"/>
  <c r="AE83" i="152"/>
  <c r="AI82" i="152"/>
  <c r="AI63" i="152"/>
  <c r="AI32" i="152"/>
  <c r="AI35" i="152"/>
  <c r="AF60" i="152"/>
  <c r="AF39" i="152"/>
  <c r="AF40" i="152"/>
  <c r="AF14" i="152"/>
  <c r="AF27" i="152"/>
  <c r="K53" i="152"/>
  <c r="AF15" i="152"/>
  <c r="AF29" i="152"/>
  <c r="AF25" i="152"/>
  <c r="AE76" i="152"/>
  <c r="AE36" i="152"/>
  <c r="AE35" i="152"/>
  <c r="AF82" i="152"/>
  <c r="AF76" i="152"/>
  <c r="AF63" i="152"/>
  <c r="AF17" i="152"/>
  <c r="AF12" i="152"/>
  <c r="AF32" i="152"/>
  <c r="AF21" i="152"/>
  <c r="AF53" i="152" l="1"/>
  <c r="AC65" i="152"/>
  <c r="AC25" i="152"/>
  <c r="AC60" i="152"/>
  <c r="AC40" i="152"/>
  <c r="AC22" i="152"/>
  <c r="AC13" i="152"/>
  <c r="AC27" i="152"/>
  <c r="AC80" i="152"/>
  <c r="AC16" i="152"/>
  <c r="AC6" i="152"/>
  <c r="AC77" i="152"/>
  <c r="AC18" i="152"/>
  <c r="AC15" i="152"/>
  <c r="AC14" i="152"/>
  <c r="AC53" i="152"/>
  <c r="N40" i="152"/>
  <c r="M60" i="152"/>
  <c r="N60" i="152"/>
  <c r="AB65" i="152"/>
  <c r="AB36" i="152"/>
  <c r="AC83" i="152"/>
  <c r="AC76" i="152"/>
  <c r="AC63" i="152"/>
  <c r="AC59" i="152"/>
  <c r="AC17" i="152"/>
  <c r="AC29" i="152"/>
  <c r="AC39" i="152"/>
  <c r="AC12" i="152"/>
  <c r="AC32" i="152"/>
  <c r="Z14" i="152"/>
  <c r="AC23" i="152"/>
  <c r="Z40" i="152"/>
  <c r="Z27" i="152"/>
  <c r="Z25" i="152"/>
  <c r="Z22" i="152"/>
  <c r="Z18" i="152"/>
  <c r="Z15" i="152"/>
  <c r="Z60" i="152"/>
  <c r="Z16" i="152"/>
  <c r="Z48" i="152"/>
  <c r="Z77" i="152"/>
  <c r="AC48" i="152"/>
  <c r="Y21" i="152"/>
  <c r="Y17" i="152"/>
  <c r="Y65" i="152"/>
  <c r="Y36" i="152"/>
  <c r="Y29" i="152"/>
  <c r="W77" i="152" l="1"/>
  <c r="N53" i="152"/>
  <c r="T53" i="152"/>
  <c r="W59" i="152"/>
  <c r="W40" i="152"/>
  <c r="W27" i="152"/>
  <c r="W22" i="152"/>
  <c r="W14" i="152"/>
  <c r="W60" i="152"/>
  <c r="W48" i="152"/>
  <c r="W25" i="152"/>
  <c r="W13" i="152"/>
  <c r="W16" i="152"/>
  <c r="W15" i="152"/>
  <c r="W58" i="152"/>
  <c r="W6" i="152"/>
  <c r="W32" i="152"/>
  <c r="W53" i="152"/>
  <c r="N83" i="152"/>
  <c r="W83" i="152"/>
  <c r="W76" i="152"/>
  <c r="W63" i="152"/>
  <c r="W17" i="152"/>
  <c r="W29" i="152"/>
  <c r="W39" i="152"/>
  <c r="W12" i="152"/>
  <c r="W36" i="152"/>
  <c r="M63" i="152" l="1"/>
  <c r="N63" i="152"/>
  <c r="M29" i="152"/>
  <c r="T39" i="152"/>
  <c r="T82" i="152"/>
  <c r="T29" i="152"/>
  <c r="T83" i="152"/>
  <c r="T76" i="152"/>
  <c r="T63" i="152"/>
  <c r="T59" i="152"/>
  <c r="T17" i="152"/>
  <c r="T12" i="152"/>
  <c r="T32" i="152"/>
  <c r="T21" i="152"/>
  <c r="M17" i="152"/>
  <c r="M32" i="152"/>
  <c r="N76" i="152"/>
  <c r="N59" i="152"/>
  <c r="N17" i="152"/>
  <c r="N29" i="152"/>
  <c r="N12" i="152"/>
  <c r="N32" i="152"/>
  <c r="N15" i="152"/>
  <c r="N21" i="152"/>
  <c r="N27" i="152"/>
  <c r="N25" i="152"/>
  <c r="N18" i="152"/>
  <c r="N14" i="152"/>
  <c r="T65" i="152"/>
  <c r="T60" i="152"/>
  <c r="T36" i="152"/>
  <c r="T35" i="152"/>
  <c r="T23" i="152"/>
  <c r="T16" i="152"/>
  <c r="T8" i="152"/>
  <c r="T40" i="152"/>
  <c r="T27" i="152"/>
  <c r="T25" i="152"/>
  <c r="T6" i="152"/>
  <c r="M59" i="152"/>
  <c r="N16" i="152"/>
  <c r="M36" i="152"/>
  <c r="N36" i="152"/>
  <c r="N65" i="152"/>
  <c r="N49" i="152"/>
  <c r="N26" i="152"/>
  <c r="N23" i="152"/>
  <c r="N8" i="152"/>
  <c r="N48" i="152"/>
  <c r="N13" i="152"/>
  <c r="K14" i="152"/>
  <c r="K32" i="152"/>
  <c r="K77" i="152"/>
  <c r="J12" i="152"/>
  <c r="J17" i="152"/>
  <c r="J29" i="152"/>
  <c r="J32" i="152"/>
  <c r="J36" i="152"/>
  <c r="J59" i="152"/>
  <c r="J60" i="152"/>
  <c r="K83" i="152"/>
  <c r="K76" i="152"/>
  <c r="K63" i="152"/>
  <c r="K59" i="152"/>
  <c r="K17" i="152"/>
  <c r="K29" i="152"/>
  <c r="K39" i="152"/>
  <c r="K12" i="152"/>
  <c r="K21" i="152"/>
  <c r="H47" i="152"/>
  <c r="J76" i="152"/>
  <c r="K60" i="152"/>
  <c r="H27" i="152"/>
  <c r="K25" i="152"/>
  <c r="K23" i="152"/>
  <c r="K16" i="152"/>
  <c r="G40" i="152"/>
  <c r="DD48" i="150"/>
  <c r="K15" i="152"/>
  <c r="K13" i="152"/>
  <c r="K6" i="152"/>
  <c r="H15" i="152"/>
  <c r="H25" i="152"/>
  <c r="H77" i="152"/>
  <c r="H40" i="152"/>
  <c r="G77" i="152"/>
  <c r="K46" i="152"/>
  <c r="K40" i="152"/>
  <c r="K22" i="152"/>
  <c r="H32" i="152"/>
  <c r="G12" i="152" l="1"/>
  <c r="G17" i="152"/>
  <c r="G29" i="152"/>
  <c r="G36" i="152"/>
  <c r="G58" i="152"/>
  <c r="G59" i="152"/>
  <c r="G60" i="152"/>
  <c r="G76" i="152"/>
  <c r="H83" i="152"/>
  <c r="H82" i="152"/>
  <c r="H76" i="152"/>
  <c r="H63" i="152"/>
  <c r="H59" i="152"/>
  <c r="H17" i="152"/>
  <c r="H29" i="152"/>
  <c r="H39" i="152"/>
  <c r="H12" i="152"/>
  <c r="H21" i="152"/>
  <c r="CP17" i="150"/>
  <c r="H60" i="152"/>
  <c r="H53" i="152"/>
  <c r="H36" i="152"/>
  <c r="H16" i="152"/>
  <c r="P32" i="152"/>
  <c r="CP36" i="150" l="1"/>
  <c r="CK48" i="150"/>
  <c r="CK22" i="150"/>
  <c r="CK40" i="150"/>
  <c r="CK27" i="150"/>
  <c r="DD71" i="150"/>
  <c r="DD14" i="150"/>
  <c r="DD27" i="150"/>
  <c r="DD22" i="150"/>
  <c r="DD69" i="150"/>
  <c r="DD23" i="150"/>
  <c r="DD15" i="150"/>
  <c r="DD58" i="150"/>
  <c r="DD80" i="150"/>
  <c r="DD40" i="150"/>
  <c r="DD16" i="150"/>
  <c r="DD77" i="150"/>
  <c r="DD32" i="150"/>
  <c r="DD13" i="150"/>
  <c r="DD43" i="150"/>
  <c r="DD29" i="150"/>
  <c r="DD18" i="150"/>
  <c r="CN76" i="150" l="1"/>
  <c r="CN83" i="150"/>
  <c r="CN59" i="150"/>
  <c r="CN17" i="150"/>
  <c r="CN29" i="150"/>
  <c r="CN12" i="150"/>
  <c r="CN32" i="150"/>
  <c r="CN82" i="150" l="1"/>
  <c r="CN63" i="150"/>
  <c r="CN39" i="150"/>
  <c r="DD65" i="150"/>
  <c r="CK65" i="150"/>
  <c r="CK58" i="150"/>
  <c r="CW93" i="152"/>
  <c r="CV93" i="152"/>
  <c r="I93" i="152"/>
  <c r="L93" i="152" s="1"/>
  <c r="O93" i="152" s="1"/>
  <c r="R93" i="152" s="1"/>
  <c r="U93" i="152" s="1"/>
  <c r="X93" i="152" s="1"/>
  <c r="AA93" i="152" s="1"/>
  <c r="AD93" i="152" s="1"/>
  <c r="AG93" i="152" s="1"/>
  <c r="AJ93" i="152" s="1"/>
  <c r="AM93" i="152" s="1"/>
  <c r="AP93" i="152" s="1"/>
  <c r="AS93" i="152" s="1"/>
  <c r="AV93" i="152" s="1"/>
  <c r="AY93" i="152" s="1"/>
  <c r="BB93" i="152" s="1"/>
  <c r="BE93" i="152" s="1"/>
  <c r="BH93" i="152" s="1"/>
  <c r="BK93" i="152" s="1"/>
  <c r="BN93" i="152" s="1"/>
  <c r="BQ93" i="152" s="1"/>
  <c r="BT93" i="152" s="1"/>
  <c r="BW93" i="152" s="1"/>
  <c r="BZ93" i="152" s="1"/>
  <c r="CC93" i="152" s="1"/>
  <c r="CF93" i="152" s="1"/>
  <c r="CI93" i="152" s="1"/>
  <c r="CL93" i="152" s="1"/>
  <c r="CO93" i="152" s="1"/>
  <c r="CR93" i="152" s="1"/>
  <c r="CU93" i="152" s="1"/>
  <c r="CW92" i="152"/>
  <c r="CV92" i="152"/>
  <c r="I92" i="152"/>
  <c r="L92" i="152" s="1"/>
  <c r="O92" i="152" s="1"/>
  <c r="R92" i="152" s="1"/>
  <c r="U92" i="152" s="1"/>
  <c r="X92" i="152" s="1"/>
  <c r="AA92" i="152" s="1"/>
  <c r="AD92" i="152" s="1"/>
  <c r="AG92" i="152" s="1"/>
  <c r="AJ92" i="152" s="1"/>
  <c r="AM92" i="152" s="1"/>
  <c r="AP92" i="152" s="1"/>
  <c r="AS92" i="152" s="1"/>
  <c r="AV92" i="152" s="1"/>
  <c r="AY92" i="152" s="1"/>
  <c r="BB92" i="152" s="1"/>
  <c r="BE92" i="152" s="1"/>
  <c r="BH92" i="152" s="1"/>
  <c r="BK92" i="152" s="1"/>
  <c r="BN92" i="152" s="1"/>
  <c r="BQ92" i="152" s="1"/>
  <c r="BT92" i="152" s="1"/>
  <c r="BW92" i="152" s="1"/>
  <c r="BZ92" i="152" s="1"/>
  <c r="CC92" i="152" s="1"/>
  <c r="CF92" i="152" s="1"/>
  <c r="CI92" i="152" s="1"/>
  <c r="CL92" i="152" s="1"/>
  <c r="CO92" i="152" s="1"/>
  <c r="CR92" i="152" s="1"/>
  <c r="CU92" i="152" s="1"/>
  <c r="CW91" i="152"/>
  <c r="CV91" i="152"/>
  <c r="I91" i="152"/>
  <c r="L91" i="152" s="1"/>
  <c r="O91" i="152" s="1"/>
  <c r="R91" i="152" s="1"/>
  <c r="U91" i="152" s="1"/>
  <c r="X91" i="152" s="1"/>
  <c r="AA91" i="152" s="1"/>
  <c r="AD91" i="152" s="1"/>
  <c r="AG91" i="152" s="1"/>
  <c r="AJ91" i="152" s="1"/>
  <c r="AM91" i="152" s="1"/>
  <c r="AP91" i="152" s="1"/>
  <c r="AS91" i="152" s="1"/>
  <c r="AV91" i="152" s="1"/>
  <c r="AY91" i="152" s="1"/>
  <c r="BB91" i="152" s="1"/>
  <c r="BE91" i="152" s="1"/>
  <c r="BH91" i="152" s="1"/>
  <c r="BK91" i="152" s="1"/>
  <c r="BN91" i="152" s="1"/>
  <c r="BQ91" i="152" s="1"/>
  <c r="BT91" i="152" s="1"/>
  <c r="BW91" i="152" s="1"/>
  <c r="BZ91" i="152" s="1"/>
  <c r="CC91" i="152" s="1"/>
  <c r="CF91" i="152" s="1"/>
  <c r="CI91" i="152" s="1"/>
  <c r="CL91" i="152" s="1"/>
  <c r="CO91" i="152" s="1"/>
  <c r="CR91" i="152" s="1"/>
  <c r="CU91" i="152" s="1"/>
  <c r="CW90" i="152"/>
  <c r="CV90" i="152"/>
  <c r="I90" i="152"/>
  <c r="L90" i="152" s="1"/>
  <c r="O90" i="152" s="1"/>
  <c r="R90" i="152" s="1"/>
  <c r="U90" i="152" s="1"/>
  <c r="X90" i="152" s="1"/>
  <c r="AA90" i="152" s="1"/>
  <c r="AD90" i="152" s="1"/>
  <c r="AG90" i="152" s="1"/>
  <c r="AJ90" i="152" s="1"/>
  <c r="AM90" i="152" s="1"/>
  <c r="AP90" i="152" s="1"/>
  <c r="AS90" i="152" s="1"/>
  <c r="AV90" i="152" s="1"/>
  <c r="AY90" i="152" s="1"/>
  <c r="BB90" i="152" s="1"/>
  <c r="BE90" i="152" s="1"/>
  <c r="BH90" i="152" s="1"/>
  <c r="BK90" i="152" s="1"/>
  <c r="BN90" i="152" s="1"/>
  <c r="BQ90" i="152" s="1"/>
  <c r="BT90" i="152" s="1"/>
  <c r="BW90" i="152" s="1"/>
  <c r="BZ90" i="152" s="1"/>
  <c r="CC90" i="152" s="1"/>
  <c r="CF90" i="152" s="1"/>
  <c r="CI90" i="152" s="1"/>
  <c r="CL90" i="152" s="1"/>
  <c r="CO90" i="152" s="1"/>
  <c r="CR90" i="152" s="1"/>
  <c r="CU90" i="152" s="1"/>
  <c r="CW89" i="152"/>
  <c r="CV89" i="152"/>
  <c r="I89" i="152"/>
  <c r="L89" i="152" s="1"/>
  <c r="O89" i="152" s="1"/>
  <c r="R89" i="152" s="1"/>
  <c r="U89" i="152" s="1"/>
  <c r="X89" i="152" s="1"/>
  <c r="AA89" i="152" s="1"/>
  <c r="AD89" i="152" s="1"/>
  <c r="AG89" i="152" s="1"/>
  <c r="AJ89" i="152" s="1"/>
  <c r="AM89" i="152" s="1"/>
  <c r="AP89" i="152" s="1"/>
  <c r="AS89" i="152" s="1"/>
  <c r="AV89" i="152" s="1"/>
  <c r="AY89" i="152" s="1"/>
  <c r="BB89" i="152" s="1"/>
  <c r="BE89" i="152" s="1"/>
  <c r="BH89" i="152" s="1"/>
  <c r="BK89" i="152" s="1"/>
  <c r="BN89" i="152" s="1"/>
  <c r="BQ89" i="152" s="1"/>
  <c r="BT89" i="152" s="1"/>
  <c r="BW89" i="152" s="1"/>
  <c r="BZ89" i="152" s="1"/>
  <c r="CC89" i="152" s="1"/>
  <c r="CF89" i="152" s="1"/>
  <c r="CI89" i="152" s="1"/>
  <c r="CL89" i="152" s="1"/>
  <c r="CO89" i="152" s="1"/>
  <c r="CR89" i="152" s="1"/>
  <c r="CU89" i="152" s="1"/>
  <c r="CW88" i="152"/>
  <c r="CV88" i="152"/>
  <c r="I88" i="152"/>
  <c r="L88" i="152" s="1"/>
  <c r="O88" i="152" s="1"/>
  <c r="R88" i="152" s="1"/>
  <c r="U88" i="152" s="1"/>
  <c r="X88" i="152" s="1"/>
  <c r="AA88" i="152" s="1"/>
  <c r="AD88" i="152" s="1"/>
  <c r="AG88" i="152" s="1"/>
  <c r="AJ88" i="152" s="1"/>
  <c r="AM88" i="152" s="1"/>
  <c r="AP88" i="152" s="1"/>
  <c r="AS88" i="152" s="1"/>
  <c r="AV88" i="152" s="1"/>
  <c r="AY88" i="152" s="1"/>
  <c r="BB88" i="152" s="1"/>
  <c r="BE88" i="152" s="1"/>
  <c r="BH88" i="152" s="1"/>
  <c r="BK88" i="152" s="1"/>
  <c r="BN88" i="152" s="1"/>
  <c r="BQ88" i="152" s="1"/>
  <c r="BT88" i="152" s="1"/>
  <c r="BW88" i="152" s="1"/>
  <c r="BZ88" i="152" s="1"/>
  <c r="CC88" i="152" s="1"/>
  <c r="CF88" i="152" s="1"/>
  <c r="CI88" i="152" s="1"/>
  <c r="CL88" i="152" s="1"/>
  <c r="CO88" i="152" s="1"/>
  <c r="CR88" i="152" s="1"/>
  <c r="CU88" i="152" s="1"/>
  <c r="CW87" i="152"/>
  <c r="CV87" i="152"/>
  <c r="I87" i="152"/>
  <c r="L87" i="152" s="1"/>
  <c r="O87" i="152" s="1"/>
  <c r="R87" i="152" s="1"/>
  <c r="U87" i="152" s="1"/>
  <c r="X87" i="152" s="1"/>
  <c r="AA87" i="152" s="1"/>
  <c r="AD87" i="152" s="1"/>
  <c r="AG87" i="152" s="1"/>
  <c r="AJ87" i="152" s="1"/>
  <c r="AM87" i="152" s="1"/>
  <c r="AP87" i="152" s="1"/>
  <c r="AS87" i="152" s="1"/>
  <c r="AV87" i="152" s="1"/>
  <c r="AY87" i="152" s="1"/>
  <c r="BB87" i="152" s="1"/>
  <c r="BE87" i="152" s="1"/>
  <c r="BH87" i="152" s="1"/>
  <c r="BK87" i="152" s="1"/>
  <c r="BN87" i="152" s="1"/>
  <c r="BQ87" i="152" s="1"/>
  <c r="BT87" i="152" s="1"/>
  <c r="BW87" i="152" s="1"/>
  <c r="BZ87" i="152" s="1"/>
  <c r="CC87" i="152" s="1"/>
  <c r="CF87" i="152" s="1"/>
  <c r="CI87" i="152" s="1"/>
  <c r="CL87" i="152" s="1"/>
  <c r="CO87" i="152" s="1"/>
  <c r="CR87" i="152" s="1"/>
  <c r="CU87" i="152" s="1"/>
  <c r="CW86" i="152"/>
  <c r="CV86" i="152"/>
  <c r="I86" i="152"/>
  <c r="L86" i="152" s="1"/>
  <c r="O86" i="152" s="1"/>
  <c r="R86" i="152" s="1"/>
  <c r="U86" i="152" s="1"/>
  <c r="X86" i="152" s="1"/>
  <c r="AA86" i="152" s="1"/>
  <c r="AD86" i="152" s="1"/>
  <c r="AG86" i="152" s="1"/>
  <c r="AJ86" i="152" s="1"/>
  <c r="AM86" i="152" s="1"/>
  <c r="AP86" i="152" s="1"/>
  <c r="AS86" i="152" s="1"/>
  <c r="AV86" i="152" s="1"/>
  <c r="AY86" i="152" s="1"/>
  <c r="BB86" i="152" s="1"/>
  <c r="BE86" i="152" s="1"/>
  <c r="BH86" i="152" s="1"/>
  <c r="BK86" i="152" s="1"/>
  <c r="BN86" i="152" s="1"/>
  <c r="BQ86" i="152" s="1"/>
  <c r="BT86" i="152" s="1"/>
  <c r="BW86" i="152" s="1"/>
  <c r="BZ86" i="152" s="1"/>
  <c r="CC86" i="152" s="1"/>
  <c r="CF86" i="152" s="1"/>
  <c r="CI86" i="152" s="1"/>
  <c r="CL86" i="152" s="1"/>
  <c r="CO86" i="152" s="1"/>
  <c r="CR86" i="152" s="1"/>
  <c r="CU86" i="152" s="1"/>
  <c r="CW85" i="152"/>
  <c r="CV85" i="152"/>
  <c r="I85" i="152"/>
  <c r="L85" i="152" s="1"/>
  <c r="O85" i="152" s="1"/>
  <c r="R85" i="152" s="1"/>
  <c r="U85" i="152" s="1"/>
  <c r="X85" i="152" s="1"/>
  <c r="AA85" i="152" s="1"/>
  <c r="AD85" i="152" s="1"/>
  <c r="AG85" i="152" s="1"/>
  <c r="AJ85" i="152" s="1"/>
  <c r="AM85" i="152" s="1"/>
  <c r="AP85" i="152" s="1"/>
  <c r="AS85" i="152" s="1"/>
  <c r="AV85" i="152" s="1"/>
  <c r="AY85" i="152" s="1"/>
  <c r="BB85" i="152" s="1"/>
  <c r="BE85" i="152" s="1"/>
  <c r="BH85" i="152" s="1"/>
  <c r="BK85" i="152" s="1"/>
  <c r="BN85" i="152" s="1"/>
  <c r="BQ85" i="152" s="1"/>
  <c r="BT85" i="152" s="1"/>
  <c r="BW85" i="152" s="1"/>
  <c r="BZ85" i="152" s="1"/>
  <c r="CC85" i="152" s="1"/>
  <c r="CF85" i="152" s="1"/>
  <c r="CI85" i="152" s="1"/>
  <c r="CL85" i="152" s="1"/>
  <c r="CO85" i="152" s="1"/>
  <c r="CR85" i="152" s="1"/>
  <c r="CU85" i="152" s="1"/>
  <c r="CW84" i="152"/>
  <c r="CV84" i="152"/>
  <c r="I84" i="152"/>
  <c r="L84" i="152" s="1"/>
  <c r="O84" i="152" s="1"/>
  <c r="R84" i="152" s="1"/>
  <c r="U84" i="152" s="1"/>
  <c r="X84" i="152" s="1"/>
  <c r="AA84" i="152" s="1"/>
  <c r="AD84" i="152" s="1"/>
  <c r="AG84" i="152" s="1"/>
  <c r="AJ84" i="152" s="1"/>
  <c r="AM84" i="152" s="1"/>
  <c r="AP84" i="152" s="1"/>
  <c r="AS84" i="152" s="1"/>
  <c r="AV84" i="152" s="1"/>
  <c r="AY84" i="152" s="1"/>
  <c r="BB84" i="152" s="1"/>
  <c r="BE84" i="152" s="1"/>
  <c r="BH84" i="152" s="1"/>
  <c r="BK84" i="152" s="1"/>
  <c r="BN84" i="152" s="1"/>
  <c r="BQ84" i="152" s="1"/>
  <c r="BT84" i="152" s="1"/>
  <c r="BW84" i="152" s="1"/>
  <c r="BZ84" i="152" s="1"/>
  <c r="CC84" i="152" s="1"/>
  <c r="CF84" i="152" s="1"/>
  <c r="CI84" i="152" s="1"/>
  <c r="CL84" i="152" s="1"/>
  <c r="CO84" i="152" s="1"/>
  <c r="CR84" i="152" s="1"/>
  <c r="CU84" i="152" s="1"/>
  <c r="CV83" i="152"/>
  <c r="CW83" i="152"/>
  <c r="I83" i="152"/>
  <c r="L83" i="152" s="1"/>
  <c r="O83" i="152" s="1"/>
  <c r="R83" i="152" s="1"/>
  <c r="U83" i="152" s="1"/>
  <c r="X83" i="152" s="1"/>
  <c r="AA83" i="152" s="1"/>
  <c r="AD83" i="152" s="1"/>
  <c r="AG83" i="152" s="1"/>
  <c r="AJ83" i="152" s="1"/>
  <c r="AM83" i="152" s="1"/>
  <c r="AP83" i="152" s="1"/>
  <c r="AS83" i="152" s="1"/>
  <c r="AV83" i="152" s="1"/>
  <c r="AY83" i="152" s="1"/>
  <c r="BB83" i="152" s="1"/>
  <c r="BE83" i="152" s="1"/>
  <c r="BH83" i="152" s="1"/>
  <c r="BK83" i="152" s="1"/>
  <c r="BN83" i="152" s="1"/>
  <c r="BQ83" i="152" s="1"/>
  <c r="BT83" i="152" s="1"/>
  <c r="BW83" i="152" s="1"/>
  <c r="BZ83" i="152" s="1"/>
  <c r="CC83" i="152" s="1"/>
  <c r="CF83" i="152" s="1"/>
  <c r="CI83" i="152" s="1"/>
  <c r="CL83" i="152" s="1"/>
  <c r="CO83" i="152" s="1"/>
  <c r="CR83" i="152" s="1"/>
  <c r="CU83" i="152" s="1"/>
  <c r="CV82" i="152"/>
  <c r="I82" i="152"/>
  <c r="L82" i="152" s="1"/>
  <c r="O82" i="152" s="1"/>
  <c r="R82" i="152" s="1"/>
  <c r="U82" i="152" s="1"/>
  <c r="X82" i="152" s="1"/>
  <c r="AA82" i="152" s="1"/>
  <c r="AD82" i="152" s="1"/>
  <c r="AG82" i="152" s="1"/>
  <c r="AJ82" i="152" s="1"/>
  <c r="AM82" i="152" s="1"/>
  <c r="AP82" i="152" s="1"/>
  <c r="AS82" i="152" s="1"/>
  <c r="AV82" i="152" s="1"/>
  <c r="AY82" i="152" s="1"/>
  <c r="BB82" i="152" s="1"/>
  <c r="BE82" i="152" s="1"/>
  <c r="BH82" i="152" s="1"/>
  <c r="BK82" i="152" s="1"/>
  <c r="BN82" i="152" s="1"/>
  <c r="BQ82" i="152" s="1"/>
  <c r="BT82" i="152" s="1"/>
  <c r="BW82" i="152" s="1"/>
  <c r="BZ82" i="152" s="1"/>
  <c r="CC82" i="152" s="1"/>
  <c r="CF82" i="152" s="1"/>
  <c r="CI82" i="152" s="1"/>
  <c r="CL82" i="152" s="1"/>
  <c r="CO82" i="152" s="1"/>
  <c r="CR82" i="152" s="1"/>
  <c r="CU82" i="152" s="1"/>
  <c r="CW81" i="152"/>
  <c r="CV81" i="152"/>
  <c r="I81" i="152"/>
  <c r="L81" i="152" s="1"/>
  <c r="O81" i="152" s="1"/>
  <c r="R81" i="152" s="1"/>
  <c r="U81" i="152" s="1"/>
  <c r="X81" i="152" s="1"/>
  <c r="AA81" i="152" s="1"/>
  <c r="AD81" i="152" s="1"/>
  <c r="AG81" i="152" s="1"/>
  <c r="AJ81" i="152" s="1"/>
  <c r="AM81" i="152" s="1"/>
  <c r="AP81" i="152" s="1"/>
  <c r="AS81" i="152" s="1"/>
  <c r="AV81" i="152" s="1"/>
  <c r="AY81" i="152" s="1"/>
  <c r="BB81" i="152" s="1"/>
  <c r="BE81" i="152" s="1"/>
  <c r="BH81" i="152" s="1"/>
  <c r="BK81" i="152" s="1"/>
  <c r="BN81" i="152" s="1"/>
  <c r="BQ81" i="152" s="1"/>
  <c r="BT81" i="152" s="1"/>
  <c r="BW81" i="152" s="1"/>
  <c r="BZ81" i="152" s="1"/>
  <c r="CC81" i="152" s="1"/>
  <c r="CF81" i="152" s="1"/>
  <c r="CI81" i="152" s="1"/>
  <c r="CL81" i="152" s="1"/>
  <c r="CO81" i="152" s="1"/>
  <c r="CR81" i="152" s="1"/>
  <c r="CU81" i="152" s="1"/>
  <c r="CW80" i="152"/>
  <c r="CV80" i="152"/>
  <c r="I80" i="152"/>
  <c r="L80" i="152" s="1"/>
  <c r="O80" i="152" s="1"/>
  <c r="R80" i="152" s="1"/>
  <c r="U80" i="152" s="1"/>
  <c r="X80" i="152" s="1"/>
  <c r="AA80" i="152" s="1"/>
  <c r="AD80" i="152" s="1"/>
  <c r="AG80" i="152" s="1"/>
  <c r="AJ80" i="152" s="1"/>
  <c r="AM80" i="152" s="1"/>
  <c r="AP80" i="152" s="1"/>
  <c r="AS80" i="152" s="1"/>
  <c r="AV80" i="152" s="1"/>
  <c r="AY80" i="152" s="1"/>
  <c r="BB80" i="152" s="1"/>
  <c r="BE80" i="152" s="1"/>
  <c r="BH80" i="152" s="1"/>
  <c r="BK80" i="152" s="1"/>
  <c r="BN80" i="152" s="1"/>
  <c r="BQ80" i="152" s="1"/>
  <c r="BT80" i="152" s="1"/>
  <c r="BW80" i="152" s="1"/>
  <c r="BZ80" i="152" s="1"/>
  <c r="CC80" i="152" s="1"/>
  <c r="CF80" i="152" s="1"/>
  <c r="CI80" i="152" s="1"/>
  <c r="CL80" i="152" s="1"/>
  <c r="CO80" i="152" s="1"/>
  <c r="CR80" i="152" s="1"/>
  <c r="CU80" i="152" s="1"/>
  <c r="CW79" i="152"/>
  <c r="CV79" i="152"/>
  <c r="I79" i="152"/>
  <c r="L79" i="152" s="1"/>
  <c r="O79" i="152" s="1"/>
  <c r="R79" i="152" s="1"/>
  <c r="U79" i="152" s="1"/>
  <c r="X79" i="152" s="1"/>
  <c r="AA79" i="152" s="1"/>
  <c r="AD79" i="152" s="1"/>
  <c r="AG79" i="152" s="1"/>
  <c r="AJ79" i="152" s="1"/>
  <c r="AM79" i="152" s="1"/>
  <c r="AP79" i="152" s="1"/>
  <c r="AS79" i="152" s="1"/>
  <c r="AV79" i="152" s="1"/>
  <c r="AY79" i="152" s="1"/>
  <c r="BB79" i="152" s="1"/>
  <c r="BE79" i="152" s="1"/>
  <c r="BH79" i="152" s="1"/>
  <c r="BK79" i="152" s="1"/>
  <c r="BN79" i="152" s="1"/>
  <c r="BQ79" i="152" s="1"/>
  <c r="BT79" i="152" s="1"/>
  <c r="BW79" i="152" s="1"/>
  <c r="BZ79" i="152" s="1"/>
  <c r="CC79" i="152" s="1"/>
  <c r="CF79" i="152" s="1"/>
  <c r="CI79" i="152" s="1"/>
  <c r="CL79" i="152" s="1"/>
  <c r="CO79" i="152" s="1"/>
  <c r="CR79" i="152" s="1"/>
  <c r="CU79" i="152" s="1"/>
  <c r="CZ78" i="152"/>
  <c r="CW78" i="152"/>
  <c r="CV78" i="152"/>
  <c r="I78" i="152"/>
  <c r="L78" i="152" s="1"/>
  <c r="O78" i="152" s="1"/>
  <c r="R78" i="152" s="1"/>
  <c r="U78" i="152" s="1"/>
  <c r="X78" i="152" s="1"/>
  <c r="AA78" i="152" s="1"/>
  <c r="AD78" i="152" s="1"/>
  <c r="AG78" i="152" s="1"/>
  <c r="AJ78" i="152" s="1"/>
  <c r="AM78" i="152" s="1"/>
  <c r="AP78" i="152" s="1"/>
  <c r="AS78" i="152" s="1"/>
  <c r="AV78" i="152" s="1"/>
  <c r="AY78" i="152" s="1"/>
  <c r="BB78" i="152" s="1"/>
  <c r="BE78" i="152" s="1"/>
  <c r="BH78" i="152" s="1"/>
  <c r="BK78" i="152" s="1"/>
  <c r="BN78" i="152" s="1"/>
  <c r="BQ78" i="152" s="1"/>
  <c r="BT78" i="152" s="1"/>
  <c r="BW78" i="152" s="1"/>
  <c r="BZ78" i="152" s="1"/>
  <c r="CC78" i="152" s="1"/>
  <c r="CF78" i="152" s="1"/>
  <c r="CI78" i="152" s="1"/>
  <c r="CL78" i="152" s="1"/>
  <c r="CO78" i="152" s="1"/>
  <c r="CR78" i="152" s="1"/>
  <c r="CU78" i="152" s="1"/>
  <c r="DB78" i="152" s="1"/>
  <c r="DE78" i="152" s="1"/>
  <c r="CV77" i="152"/>
  <c r="I76" i="152"/>
  <c r="L76" i="152" s="1"/>
  <c r="O76" i="152" s="1"/>
  <c r="R76" i="152" s="1"/>
  <c r="U76" i="152" s="1"/>
  <c r="X76" i="152" s="1"/>
  <c r="AA76" i="152" s="1"/>
  <c r="AD76" i="152" s="1"/>
  <c r="AG76" i="152" s="1"/>
  <c r="AJ76" i="152" s="1"/>
  <c r="AM76" i="152" s="1"/>
  <c r="AP76" i="152" s="1"/>
  <c r="AS76" i="152" s="1"/>
  <c r="AV76" i="152" s="1"/>
  <c r="CW75" i="152"/>
  <c r="CV75" i="152"/>
  <c r="I75" i="152"/>
  <c r="L75" i="152" s="1"/>
  <c r="O75" i="152" s="1"/>
  <c r="R75" i="152" s="1"/>
  <c r="U75" i="152" s="1"/>
  <c r="X75" i="152" s="1"/>
  <c r="AA75" i="152" s="1"/>
  <c r="AD75" i="152" s="1"/>
  <c r="AG75" i="152" s="1"/>
  <c r="AJ75" i="152" s="1"/>
  <c r="AM75" i="152" s="1"/>
  <c r="AP75" i="152" s="1"/>
  <c r="AS75" i="152" s="1"/>
  <c r="AV75" i="152" s="1"/>
  <c r="AY75" i="152" s="1"/>
  <c r="BB75" i="152" s="1"/>
  <c r="BE75" i="152" s="1"/>
  <c r="BH75" i="152" s="1"/>
  <c r="BK75" i="152" s="1"/>
  <c r="BN75" i="152" s="1"/>
  <c r="BQ75" i="152" s="1"/>
  <c r="BT75" i="152" s="1"/>
  <c r="BW75" i="152" s="1"/>
  <c r="BZ75" i="152" s="1"/>
  <c r="CC75" i="152" s="1"/>
  <c r="CF75" i="152" s="1"/>
  <c r="CI75" i="152" s="1"/>
  <c r="CL75" i="152" s="1"/>
  <c r="CO75" i="152" s="1"/>
  <c r="CR75" i="152" s="1"/>
  <c r="CU75" i="152" s="1"/>
  <c r="CW74" i="152"/>
  <c r="CV74" i="152"/>
  <c r="I74" i="152"/>
  <c r="L74" i="152" s="1"/>
  <c r="O74" i="152" s="1"/>
  <c r="R74" i="152" s="1"/>
  <c r="U74" i="152" s="1"/>
  <c r="X74" i="152" s="1"/>
  <c r="AA74" i="152" s="1"/>
  <c r="AD74" i="152" s="1"/>
  <c r="AG74" i="152" s="1"/>
  <c r="AJ74" i="152" s="1"/>
  <c r="AM74" i="152" s="1"/>
  <c r="AP74" i="152" s="1"/>
  <c r="AS74" i="152" s="1"/>
  <c r="AV74" i="152" s="1"/>
  <c r="AY74" i="152" s="1"/>
  <c r="BB74" i="152" s="1"/>
  <c r="BE74" i="152" s="1"/>
  <c r="BH74" i="152" s="1"/>
  <c r="BK74" i="152" s="1"/>
  <c r="BN74" i="152" s="1"/>
  <c r="BQ74" i="152" s="1"/>
  <c r="BT74" i="152" s="1"/>
  <c r="BW74" i="152" s="1"/>
  <c r="BZ74" i="152" s="1"/>
  <c r="CC74" i="152" s="1"/>
  <c r="CF74" i="152" s="1"/>
  <c r="CI74" i="152" s="1"/>
  <c r="CL74" i="152" s="1"/>
  <c r="CO74" i="152" s="1"/>
  <c r="CR74" i="152" s="1"/>
  <c r="CU74" i="152" s="1"/>
  <c r="CW73" i="152"/>
  <c r="CV73" i="152"/>
  <c r="I73" i="152"/>
  <c r="L73" i="152" s="1"/>
  <c r="O73" i="152" s="1"/>
  <c r="R73" i="152" s="1"/>
  <c r="U73" i="152" s="1"/>
  <c r="X73" i="152" s="1"/>
  <c r="AA73" i="152" s="1"/>
  <c r="AD73" i="152" s="1"/>
  <c r="AG73" i="152" s="1"/>
  <c r="AJ73" i="152" s="1"/>
  <c r="AM73" i="152" s="1"/>
  <c r="AP73" i="152" s="1"/>
  <c r="AS73" i="152" s="1"/>
  <c r="AV73" i="152" s="1"/>
  <c r="AY73" i="152" s="1"/>
  <c r="BB73" i="152" s="1"/>
  <c r="BE73" i="152" s="1"/>
  <c r="BH73" i="152" s="1"/>
  <c r="BK73" i="152" s="1"/>
  <c r="BN73" i="152" s="1"/>
  <c r="BQ73" i="152" s="1"/>
  <c r="BT73" i="152" s="1"/>
  <c r="BW73" i="152" s="1"/>
  <c r="BZ73" i="152" s="1"/>
  <c r="CC73" i="152" s="1"/>
  <c r="CF73" i="152" s="1"/>
  <c r="CI73" i="152" s="1"/>
  <c r="CL73" i="152" s="1"/>
  <c r="CO73" i="152" s="1"/>
  <c r="CR73" i="152" s="1"/>
  <c r="CU73" i="152" s="1"/>
  <c r="CW72" i="152"/>
  <c r="CV72" i="152"/>
  <c r="I72" i="152"/>
  <c r="L72" i="152" s="1"/>
  <c r="O72" i="152" s="1"/>
  <c r="R72" i="152" s="1"/>
  <c r="U72" i="152" s="1"/>
  <c r="X72" i="152" s="1"/>
  <c r="AA72" i="152" s="1"/>
  <c r="AD72" i="152" s="1"/>
  <c r="AG72" i="152" s="1"/>
  <c r="AJ72" i="152" s="1"/>
  <c r="AM72" i="152" s="1"/>
  <c r="AP72" i="152" s="1"/>
  <c r="AS72" i="152" s="1"/>
  <c r="AV72" i="152" s="1"/>
  <c r="AY72" i="152" s="1"/>
  <c r="BB72" i="152" s="1"/>
  <c r="BE72" i="152" s="1"/>
  <c r="BH72" i="152" s="1"/>
  <c r="BK72" i="152" s="1"/>
  <c r="BN72" i="152" s="1"/>
  <c r="BQ72" i="152" s="1"/>
  <c r="BT72" i="152" s="1"/>
  <c r="BW72" i="152" s="1"/>
  <c r="BZ72" i="152" s="1"/>
  <c r="CC72" i="152" s="1"/>
  <c r="CF72" i="152" s="1"/>
  <c r="CI72" i="152" s="1"/>
  <c r="CL72" i="152" s="1"/>
  <c r="CO72" i="152" s="1"/>
  <c r="CR72" i="152" s="1"/>
  <c r="CU72" i="152" s="1"/>
  <c r="CV71" i="152"/>
  <c r="CW71" i="152"/>
  <c r="I71" i="152"/>
  <c r="L71" i="152" s="1"/>
  <c r="O71" i="152" s="1"/>
  <c r="R71" i="152" s="1"/>
  <c r="U71" i="152" s="1"/>
  <c r="X71" i="152" s="1"/>
  <c r="AA71" i="152" s="1"/>
  <c r="AD71" i="152" s="1"/>
  <c r="AG71" i="152" s="1"/>
  <c r="AJ71" i="152" s="1"/>
  <c r="AM71" i="152" s="1"/>
  <c r="AP71" i="152" s="1"/>
  <c r="AS71" i="152" s="1"/>
  <c r="AV71" i="152" s="1"/>
  <c r="AY71" i="152" s="1"/>
  <c r="BB71" i="152" s="1"/>
  <c r="BE71" i="152" s="1"/>
  <c r="BH71" i="152" s="1"/>
  <c r="BK71" i="152" s="1"/>
  <c r="BN71" i="152" s="1"/>
  <c r="BQ71" i="152" s="1"/>
  <c r="BT71" i="152" s="1"/>
  <c r="BW71" i="152" s="1"/>
  <c r="BZ71" i="152" s="1"/>
  <c r="CC71" i="152" s="1"/>
  <c r="CF71" i="152" s="1"/>
  <c r="CI71" i="152" s="1"/>
  <c r="CL71" i="152" s="1"/>
  <c r="CO71" i="152" s="1"/>
  <c r="CR71" i="152" s="1"/>
  <c r="CU71" i="152" s="1"/>
  <c r="CW70" i="152"/>
  <c r="CV70" i="152"/>
  <c r="I70" i="152"/>
  <c r="L70" i="152" s="1"/>
  <c r="O70" i="152" s="1"/>
  <c r="R70" i="152" s="1"/>
  <c r="U70" i="152" s="1"/>
  <c r="X70" i="152" s="1"/>
  <c r="AA70" i="152" s="1"/>
  <c r="AD70" i="152" s="1"/>
  <c r="AG70" i="152" s="1"/>
  <c r="AJ70" i="152" s="1"/>
  <c r="AM70" i="152" s="1"/>
  <c r="AP70" i="152" s="1"/>
  <c r="AS70" i="152" s="1"/>
  <c r="AV70" i="152" s="1"/>
  <c r="AY70" i="152" s="1"/>
  <c r="BB70" i="152" s="1"/>
  <c r="BE70" i="152" s="1"/>
  <c r="BH70" i="152" s="1"/>
  <c r="BK70" i="152" s="1"/>
  <c r="BN70" i="152" s="1"/>
  <c r="BQ70" i="152" s="1"/>
  <c r="BT70" i="152" s="1"/>
  <c r="BW70" i="152" s="1"/>
  <c r="BZ70" i="152" s="1"/>
  <c r="CC70" i="152" s="1"/>
  <c r="CF70" i="152" s="1"/>
  <c r="CI70" i="152" s="1"/>
  <c r="CL70" i="152" s="1"/>
  <c r="CO70" i="152" s="1"/>
  <c r="CR70" i="152" s="1"/>
  <c r="CU70" i="152" s="1"/>
  <c r="CW69" i="152"/>
  <c r="CV69" i="152"/>
  <c r="I69" i="152"/>
  <c r="L69" i="152" s="1"/>
  <c r="O69" i="152" s="1"/>
  <c r="R69" i="152" s="1"/>
  <c r="U69" i="152" s="1"/>
  <c r="X69" i="152" s="1"/>
  <c r="AA69" i="152" s="1"/>
  <c r="AD69" i="152" s="1"/>
  <c r="AG69" i="152" s="1"/>
  <c r="AJ69" i="152" s="1"/>
  <c r="AM69" i="152" s="1"/>
  <c r="AP69" i="152" s="1"/>
  <c r="AS69" i="152" s="1"/>
  <c r="AV69" i="152" s="1"/>
  <c r="AY69" i="152" s="1"/>
  <c r="BB69" i="152" s="1"/>
  <c r="BE69" i="152" s="1"/>
  <c r="BH69" i="152" s="1"/>
  <c r="BK69" i="152" s="1"/>
  <c r="BN69" i="152" s="1"/>
  <c r="BQ69" i="152" s="1"/>
  <c r="BT69" i="152" s="1"/>
  <c r="BW69" i="152" s="1"/>
  <c r="BZ69" i="152" s="1"/>
  <c r="CC69" i="152" s="1"/>
  <c r="CF69" i="152" s="1"/>
  <c r="CI69" i="152" s="1"/>
  <c r="CL69" i="152" s="1"/>
  <c r="CO69" i="152" s="1"/>
  <c r="CR69" i="152" s="1"/>
  <c r="CU69" i="152" s="1"/>
  <c r="CW68" i="152"/>
  <c r="CV68" i="152"/>
  <c r="I68" i="152"/>
  <c r="L68" i="152" s="1"/>
  <c r="O68" i="152" s="1"/>
  <c r="R68" i="152" s="1"/>
  <c r="U68" i="152" s="1"/>
  <c r="X68" i="152" s="1"/>
  <c r="AA68" i="152" s="1"/>
  <c r="AD68" i="152" s="1"/>
  <c r="AG68" i="152" s="1"/>
  <c r="AJ68" i="152" s="1"/>
  <c r="AM68" i="152" s="1"/>
  <c r="AP68" i="152" s="1"/>
  <c r="AS68" i="152" s="1"/>
  <c r="AV68" i="152" s="1"/>
  <c r="AY68" i="152" s="1"/>
  <c r="BB68" i="152" s="1"/>
  <c r="BE68" i="152" s="1"/>
  <c r="BH68" i="152" s="1"/>
  <c r="BK68" i="152" s="1"/>
  <c r="BN68" i="152" s="1"/>
  <c r="BQ68" i="152" s="1"/>
  <c r="BT68" i="152" s="1"/>
  <c r="BW68" i="152" s="1"/>
  <c r="BZ68" i="152" s="1"/>
  <c r="CC68" i="152" s="1"/>
  <c r="CF68" i="152" s="1"/>
  <c r="CI68" i="152" s="1"/>
  <c r="CL68" i="152" s="1"/>
  <c r="CO68" i="152" s="1"/>
  <c r="CR68" i="152" s="1"/>
  <c r="CU68" i="152" s="1"/>
  <c r="CW67" i="152"/>
  <c r="CV67" i="152"/>
  <c r="I67" i="152"/>
  <c r="L67" i="152" s="1"/>
  <c r="O67" i="152" s="1"/>
  <c r="R67" i="152" s="1"/>
  <c r="U67" i="152" s="1"/>
  <c r="X67" i="152" s="1"/>
  <c r="AA67" i="152" s="1"/>
  <c r="AD67" i="152" s="1"/>
  <c r="AG67" i="152" s="1"/>
  <c r="AJ67" i="152" s="1"/>
  <c r="AM67" i="152" s="1"/>
  <c r="AP67" i="152" s="1"/>
  <c r="AS67" i="152" s="1"/>
  <c r="AV67" i="152" s="1"/>
  <c r="AY67" i="152" s="1"/>
  <c r="BB67" i="152" s="1"/>
  <c r="BE67" i="152" s="1"/>
  <c r="BH67" i="152" s="1"/>
  <c r="BK67" i="152" s="1"/>
  <c r="BN67" i="152" s="1"/>
  <c r="BQ67" i="152" s="1"/>
  <c r="BT67" i="152" s="1"/>
  <c r="BW67" i="152" s="1"/>
  <c r="BZ67" i="152" s="1"/>
  <c r="CC67" i="152" s="1"/>
  <c r="CF67" i="152" s="1"/>
  <c r="CI67" i="152" s="1"/>
  <c r="CL67" i="152" s="1"/>
  <c r="CO67" i="152" s="1"/>
  <c r="CR67" i="152" s="1"/>
  <c r="CU67" i="152" s="1"/>
  <c r="CW66" i="152"/>
  <c r="CV66" i="152"/>
  <c r="I66" i="152"/>
  <c r="L66" i="152" s="1"/>
  <c r="O66" i="152" s="1"/>
  <c r="R66" i="152" s="1"/>
  <c r="U66" i="152" s="1"/>
  <c r="X66" i="152" s="1"/>
  <c r="AA66" i="152" s="1"/>
  <c r="AD66" i="152" s="1"/>
  <c r="AG66" i="152" s="1"/>
  <c r="AJ66" i="152" s="1"/>
  <c r="AM66" i="152" s="1"/>
  <c r="AP66" i="152" s="1"/>
  <c r="AS66" i="152" s="1"/>
  <c r="AV66" i="152" s="1"/>
  <c r="AY66" i="152" s="1"/>
  <c r="BB66" i="152" s="1"/>
  <c r="BE66" i="152" s="1"/>
  <c r="BH66" i="152" s="1"/>
  <c r="BK66" i="152" s="1"/>
  <c r="BN66" i="152" s="1"/>
  <c r="BQ66" i="152" s="1"/>
  <c r="BT66" i="152" s="1"/>
  <c r="BW66" i="152" s="1"/>
  <c r="BZ66" i="152" s="1"/>
  <c r="CC66" i="152" s="1"/>
  <c r="CF66" i="152" s="1"/>
  <c r="CI66" i="152" s="1"/>
  <c r="CL66" i="152" s="1"/>
  <c r="CO66" i="152" s="1"/>
  <c r="CR66" i="152" s="1"/>
  <c r="CU66" i="152" s="1"/>
  <c r="CV65" i="152"/>
  <c r="CW64" i="152"/>
  <c r="CV64" i="152"/>
  <c r="I64" i="152"/>
  <c r="L64" i="152" s="1"/>
  <c r="O64" i="152" s="1"/>
  <c r="R64" i="152" s="1"/>
  <c r="U64" i="152" s="1"/>
  <c r="X64" i="152" s="1"/>
  <c r="AA64" i="152" s="1"/>
  <c r="AD64" i="152" s="1"/>
  <c r="AG64" i="152" s="1"/>
  <c r="AJ64" i="152" s="1"/>
  <c r="AM64" i="152" s="1"/>
  <c r="AP64" i="152" s="1"/>
  <c r="AS64" i="152" s="1"/>
  <c r="AV64" i="152" s="1"/>
  <c r="AY64" i="152" s="1"/>
  <c r="BB64" i="152" s="1"/>
  <c r="BE64" i="152" s="1"/>
  <c r="BH64" i="152" s="1"/>
  <c r="BK64" i="152" s="1"/>
  <c r="BN64" i="152" s="1"/>
  <c r="BQ64" i="152" s="1"/>
  <c r="BT64" i="152" s="1"/>
  <c r="BW64" i="152" s="1"/>
  <c r="BZ64" i="152" s="1"/>
  <c r="CC64" i="152" s="1"/>
  <c r="CF64" i="152" s="1"/>
  <c r="CI64" i="152" s="1"/>
  <c r="CL64" i="152" s="1"/>
  <c r="CO64" i="152" s="1"/>
  <c r="CR64" i="152" s="1"/>
  <c r="CU64" i="152" s="1"/>
  <c r="CV63" i="152"/>
  <c r="I63" i="152"/>
  <c r="L63" i="152" s="1"/>
  <c r="O63" i="152" s="1"/>
  <c r="R63" i="152" s="1"/>
  <c r="U63" i="152" s="1"/>
  <c r="X63" i="152" s="1"/>
  <c r="AA63" i="152" s="1"/>
  <c r="AD63" i="152" s="1"/>
  <c r="AG63" i="152" s="1"/>
  <c r="AJ63" i="152" s="1"/>
  <c r="CW62" i="152"/>
  <c r="CV62" i="152"/>
  <c r="I62" i="152"/>
  <c r="L62" i="152" s="1"/>
  <c r="O62" i="152" s="1"/>
  <c r="R62" i="152" s="1"/>
  <c r="U62" i="152" s="1"/>
  <c r="X62" i="152" s="1"/>
  <c r="AA62" i="152" s="1"/>
  <c r="AD62" i="152" s="1"/>
  <c r="AG62" i="152" s="1"/>
  <c r="AJ62" i="152" s="1"/>
  <c r="AM62" i="152" s="1"/>
  <c r="AP62" i="152" s="1"/>
  <c r="AS62" i="152" s="1"/>
  <c r="AV62" i="152" s="1"/>
  <c r="AY62" i="152" s="1"/>
  <c r="BB62" i="152" s="1"/>
  <c r="BE62" i="152" s="1"/>
  <c r="BH62" i="152" s="1"/>
  <c r="BK62" i="152" s="1"/>
  <c r="BN62" i="152" s="1"/>
  <c r="BQ62" i="152" s="1"/>
  <c r="BT62" i="152" s="1"/>
  <c r="BW62" i="152" s="1"/>
  <c r="BZ62" i="152" s="1"/>
  <c r="CC62" i="152" s="1"/>
  <c r="CF62" i="152" s="1"/>
  <c r="CI62" i="152" s="1"/>
  <c r="CL62" i="152" s="1"/>
  <c r="CO62" i="152" s="1"/>
  <c r="CR62" i="152" s="1"/>
  <c r="CU62" i="152" s="1"/>
  <c r="CW61" i="152"/>
  <c r="CV61" i="152"/>
  <c r="I61" i="152"/>
  <c r="L61" i="152" s="1"/>
  <c r="O61" i="152" s="1"/>
  <c r="R61" i="152" s="1"/>
  <c r="U61" i="152" s="1"/>
  <c r="X61" i="152" s="1"/>
  <c r="AA61" i="152" s="1"/>
  <c r="AD61" i="152" s="1"/>
  <c r="AG61" i="152" s="1"/>
  <c r="AJ61" i="152" s="1"/>
  <c r="AM61" i="152" s="1"/>
  <c r="AP61" i="152" s="1"/>
  <c r="AS61" i="152" s="1"/>
  <c r="AV61" i="152" s="1"/>
  <c r="AY61" i="152" s="1"/>
  <c r="BB61" i="152" s="1"/>
  <c r="BE61" i="152" s="1"/>
  <c r="BH61" i="152" s="1"/>
  <c r="BK61" i="152" s="1"/>
  <c r="BN61" i="152" s="1"/>
  <c r="BQ61" i="152" s="1"/>
  <c r="BT61" i="152" s="1"/>
  <c r="BW61" i="152" s="1"/>
  <c r="BZ61" i="152" s="1"/>
  <c r="CC61" i="152" s="1"/>
  <c r="CF61" i="152" s="1"/>
  <c r="CI61" i="152" s="1"/>
  <c r="CL61" i="152" s="1"/>
  <c r="CO61" i="152" s="1"/>
  <c r="CR61" i="152" s="1"/>
  <c r="CU61" i="152" s="1"/>
  <c r="I60" i="152"/>
  <c r="L60" i="152" s="1"/>
  <c r="O60" i="152" s="1"/>
  <c r="R60" i="152" s="1"/>
  <c r="U60" i="152" s="1"/>
  <c r="X60" i="152" s="1"/>
  <c r="AA60" i="152" s="1"/>
  <c r="AD60" i="152" s="1"/>
  <c r="AG60" i="152" s="1"/>
  <c r="AJ60" i="152" s="1"/>
  <c r="AM60" i="152" s="1"/>
  <c r="AP60" i="152" s="1"/>
  <c r="AS60" i="152" s="1"/>
  <c r="AV60" i="152" s="1"/>
  <c r="AY60" i="152" s="1"/>
  <c r="BB60" i="152" s="1"/>
  <c r="BE60" i="152" s="1"/>
  <c r="BH60" i="152" s="1"/>
  <c r="BK60" i="152" s="1"/>
  <c r="BN60" i="152" s="1"/>
  <c r="BQ60" i="152" s="1"/>
  <c r="BT60" i="152" s="1"/>
  <c r="BW60" i="152" s="1"/>
  <c r="BZ60" i="152" s="1"/>
  <c r="CC60" i="152" s="1"/>
  <c r="CF60" i="152" s="1"/>
  <c r="CI60" i="152" s="1"/>
  <c r="CL60" i="152" s="1"/>
  <c r="CO60" i="152" s="1"/>
  <c r="CR60" i="152" s="1"/>
  <c r="CU60" i="152" s="1"/>
  <c r="CV59" i="152"/>
  <c r="I59" i="152"/>
  <c r="L59" i="152" s="1"/>
  <c r="O59" i="152" s="1"/>
  <c r="R59" i="152" s="1"/>
  <c r="U59" i="152" s="1"/>
  <c r="X59" i="152" s="1"/>
  <c r="AA59" i="152" s="1"/>
  <c r="AD59" i="152" s="1"/>
  <c r="AG59" i="152" s="1"/>
  <c r="AJ59" i="152" s="1"/>
  <c r="AM59" i="152" s="1"/>
  <c r="AP59" i="152" s="1"/>
  <c r="AS59" i="152" s="1"/>
  <c r="AV59" i="152" s="1"/>
  <c r="AY59" i="152" s="1"/>
  <c r="BB59" i="152" s="1"/>
  <c r="BE59" i="152" s="1"/>
  <c r="BH59" i="152" s="1"/>
  <c r="BK59" i="152" s="1"/>
  <c r="BN59" i="152" s="1"/>
  <c r="BQ59" i="152" s="1"/>
  <c r="BT59" i="152" s="1"/>
  <c r="BW59" i="152" s="1"/>
  <c r="BZ59" i="152" s="1"/>
  <c r="CC59" i="152" s="1"/>
  <c r="CF59" i="152" s="1"/>
  <c r="CI59" i="152" s="1"/>
  <c r="CL59" i="152" s="1"/>
  <c r="CO59" i="152" s="1"/>
  <c r="CR59" i="152" s="1"/>
  <c r="CU59" i="152" s="1"/>
  <c r="CV58" i="152"/>
  <c r="I58" i="152"/>
  <c r="L58" i="152" s="1"/>
  <c r="O58" i="152" s="1"/>
  <c r="CW57" i="152"/>
  <c r="CV57" i="152"/>
  <c r="I57" i="152"/>
  <c r="L57" i="152" s="1"/>
  <c r="O57" i="152" s="1"/>
  <c r="R57" i="152" s="1"/>
  <c r="U57" i="152" s="1"/>
  <c r="X57" i="152" s="1"/>
  <c r="AA57" i="152" s="1"/>
  <c r="AD57" i="152" s="1"/>
  <c r="AG57" i="152" s="1"/>
  <c r="AJ57" i="152" s="1"/>
  <c r="AM57" i="152" s="1"/>
  <c r="AP57" i="152" s="1"/>
  <c r="AS57" i="152" s="1"/>
  <c r="AV57" i="152" s="1"/>
  <c r="AY57" i="152" s="1"/>
  <c r="BB57" i="152" s="1"/>
  <c r="BE57" i="152" s="1"/>
  <c r="BH57" i="152" s="1"/>
  <c r="BK57" i="152" s="1"/>
  <c r="BN57" i="152" s="1"/>
  <c r="BQ57" i="152" s="1"/>
  <c r="BT57" i="152" s="1"/>
  <c r="BW57" i="152" s="1"/>
  <c r="BZ57" i="152" s="1"/>
  <c r="CC57" i="152" s="1"/>
  <c r="CF57" i="152" s="1"/>
  <c r="CI57" i="152" s="1"/>
  <c r="CL57" i="152" s="1"/>
  <c r="CO57" i="152" s="1"/>
  <c r="CR57" i="152" s="1"/>
  <c r="CU57" i="152" s="1"/>
  <c r="CW56" i="152"/>
  <c r="CV56" i="152"/>
  <c r="I56" i="152"/>
  <c r="L56" i="152" s="1"/>
  <c r="O56" i="152" s="1"/>
  <c r="R56" i="152" s="1"/>
  <c r="U56" i="152" s="1"/>
  <c r="X56" i="152" s="1"/>
  <c r="AA56" i="152" s="1"/>
  <c r="AD56" i="152" s="1"/>
  <c r="AG56" i="152" s="1"/>
  <c r="AJ56" i="152" s="1"/>
  <c r="AM56" i="152" s="1"/>
  <c r="AP56" i="152" s="1"/>
  <c r="AS56" i="152" s="1"/>
  <c r="AV56" i="152" s="1"/>
  <c r="AY56" i="152" s="1"/>
  <c r="BB56" i="152" s="1"/>
  <c r="BE56" i="152" s="1"/>
  <c r="BH56" i="152" s="1"/>
  <c r="BK56" i="152" s="1"/>
  <c r="BN56" i="152" s="1"/>
  <c r="BQ56" i="152" s="1"/>
  <c r="BT56" i="152" s="1"/>
  <c r="BW56" i="152" s="1"/>
  <c r="BZ56" i="152" s="1"/>
  <c r="CC56" i="152" s="1"/>
  <c r="CF56" i="152" s="1"/>
  <c r="CI56" i="152" s="1"/>
  <c r="CL56" i="152" s="1"/>
  <c r="CO56" i="152" s="1"/>
  <c r="CR56" i="152" s="1"/>
  <c r="CU56" i="152" s="1"/>
  <c r="CW55" i="152"/>
  <c r="CV55" i="152"/>
  <c r="I55" i="152"/>
  <c r="L55" i="152" s="1"/>
  <c r="O55" i="152" s="1"/>
  <c r="R55" i="152" s="1"/>
  <c r="U55" i="152" s="1"/>
  <c r="X55" i="152" s="1"/>
  <c r="AA55" i="152" s="1"/>
  <c r="AD55" i="152" s="1"/>
  <c r="AG55" i="152" s="1"/>
  <c r="AJ55" i="152" s="1"/>
  <c r="AM55" i="152" s="1"/>
  <c r="AP55" i="152" s="1"/>
  <c r="AS55" i="152" s="1"/>
  <c r="AV55" i="152" s="1"/>
  <c r="AY55" i="152" s="1"/>
  <c r="BB55" i="152" s="1"/>
  <c r="BE55" i="152" s="1"/>
  <c r="BH55" i="152" s="1"/>
  <c r="BK55" i="152" s="1"/>
  <c r="BN55" i="152" s="1"/>
  <c r="BQ55" i="152" s="1"/>
  <c r="BT55" i="152" s="1"/>
  <c r="BW55" i="152" s="1"/>
  <c r="BZ55" i="152" s="1"/>
  <c r="CC55" i="152" s="1"/>
  <c r="CF55" i="152" s="1"/>
  <c r="CI55" i="152" s="1"/>
  <c r="CL55" i="152" s="1"/>
  <c r="CO55" i="152" s="1"/>
  <c r="CR55" i="152" s="1"/>
  <c r="CU55" i="152" s="1"/>
  <c r="CW54" i="152"/>
  <c r="CV54" i="152"/>
  <c r="I54" i="152"/>
  <c r="L54" i="152" s="1"/>
  <c r="O54" i="152" s="1"/>
  <c r="R54" i="152" s="1"/>
  <c r="U54" i="152" s="1"/>
  <c r="X54" i="152" s="1"/>
  <c r="AA54" i="152" s="1"/>
  <c r="AD54" i="152" s="1"/>
  <c r="AG54" i="152" s="1"/>
  <c r="AJ54" i="152" s="1"/>
  <c r="AM54" i="152" s="1"/>
  <c r="AP54" i="152" s="1"/>
  <c r="AS54" i="152" s="1"/>
  <c r="AV54" i="152" s="1"/>
  <c r="AY54" i="152" s="1"/>
  <c r="BB54" i="152" s="1"/>
  <c r="BE54" i="152" s="1"/>
  <c r="BH54" i="152" s="1"/>
  <c r="BK54" i="152" s="1"/>
  <c r="BN54" i="152" s="1"/>
  <c r="BQ54" i="152" s="1"/>
  <c r="BT54" i="152" s="1"/>
  <c r="BW54" i="152" s="1"/>
  <c r="BZ54" i="152" s="1"/>
  <c r="CC54" i="152" s="1"/>
  <c r="CF54" i="152" s="1"/>
  <c r="CI54" i="152" s="1"/>
  <c r="CL54" i="152" s="1"/>
  <c r="CO54" i="152" s="1"/>
  <c r="CR54" i="152" s="1"/>
  <c r="CU54" i="152" s="1"/>
  <c r="CV53" i="152"/>
  <c r="CW53" i="152"/>
  <c r="I53" i="152"/>
  <c r="L53" i="152" s="1"/>
  <c r="O53" i="152" s="1"/>
  <c r="R53" i="152" s="1"/>
  <c r="U53" i="152" s="1"/>
  <c r="X53" i="152" s="1"/>
  <c r="AA53" i="152" s="1"/>
  <c r="AD53" i="152" s="1"/>
  <c r="AG53" i="152" s="1"/>
  <c r="AJ53" i="152" s="1"/>
  <c r="AM53" i="152" s="1"/>
  <c r="AP53" i="152" s="1"/>
  <c r="AS53" i="152" s="1"/>
  <c r="AV53" i="152" s="1"/>
  <c r="AY53" i="152" s="1"/>
  <c r="BB53" i="152" s="1"/>
  <c r="BE53" i="152" s="1"/>
  <c r="BH53" i="152" s="1"/>
  <c r="BK53" i="152" s="1"/>
  <c r="BN53" i="152" s="1"/>
  <c r="BQ53" i="152" s="1"/>
  <c r="BT53" i="152" s="1"/>
  <c r="BW53" i="152" s="1"/>
  <c r="BZ53" i="152" s="1"/>
  <c r="CC53" i="152" s="1"/>
  <c r="CF53" i="152" s="1"/>
  <c r="CI53" i="152" s="1"/>
  <c r="CL53" i="152" s="1"/>
  <c r="CO53" i="152" s="1"/>
  <c r="CR53" i="152" s="1"/>
  <c r="CU53" i="152" s="1"/>
  <c r="CW52" i="152"/>
  <c r="CV52" i="152"/>
  <c r="I52" i="152"/>
  <c r="L52" i="152" s="1"/>
  <c r="O52" i="152" s="1"/>
  <c r="R52" i="152" s="1"/>
  <c r="U52" i="152" s="1"/>
  <c r="X52" i="152" s="1"/>
  <c r="AA52" i="152" s="1"/>
  <c r="AD52" i="152" s="1"/>
  <c r="AG52" i="152" s="1"/>
  <c r="AJ52" i="152" s="1"/>
  <c r="AM52" i="152" s="1"/>
  <c r="AP52" i="152" s="1"/>
  <c r="AS52" i="152" s="1"/>
  <c r="AV52" i="152" s="1"/>
  <c r="AY52" i="152" s="1"/>
  <c r="BB52" i="152" s="1"/>
  <c r="BE52" i="152" s="1"/>
  <c r="BH52" i="152" s="1"/>
  <c r="BK52" i="152" s="1"/>
  <c r="BN52" i="152" s="1"/>
  <c r="BQ52" i="152" s="1"/>
  <c r="BT52" i="152" s="1"/>
  <c r="BW52" i="152" s="1"/>
  <c r="BZ52" i="152" s="1"/>
  <c r="CC52" i="152" s="1"/>
  <c r="CF52" i="152" s="1"/>
  <c r="CI52" i="152" s="1"/>
  <c r="CL52" i="152" s="1"/>
  <c r="CO52" i="152" s="1"/>
  <c r="CR52" i="152" s="1"/>
  <c r="CU52" i="152" s="1"/>
  <c r="CW51" i="152"/>
  <c r="CV51" i="152"/>
  <c r="I51" i="152"/>
  <c r="L51" i="152" s="1"/>
  <c r="O51" i="152" s="1"/>
  <c r="R51" i="152" s="1"/>
  <c r="U51" i="152" s="1"/>
  <c r="X51" i="152" s="1"/>
  <c r="AA51" i="152" s="1"/>
  <c r="AD51" i="152" s="1"/>
  <c r="AG51" i="152" s="1"/>
  <c r="AJ51" i="152" s="1"/>
  <c r="AM51" i="152" s="1"/>
  <c r="AP51" i="152" s="1"/>
  <c r="AS51" i="152" s="1"/>
  <c r="AV51" i="152" s="1"/>
  <c r="AY51" i="152" s="1"/>
  <c r="BB51" i="152" s="1"/>
  <c r="BE51" i="152" s="1"/>
  <c r="BH51" i="152" s="1"/>
  <c r="BK51" i="152" s="1"/>
  <c r="BN51" i="152" s="1"/>
  <c r="BQ51" i="152" s="1"/>
  <c r="BT51" i="152" s="1"/>
  <c r="BW51" i="152" s="1"/>
  <c r="BZ51" i="152" s="1"/>
  <c r="CC51" i="152" s="1"/>
  <c r="CF51" i="152" s="1"/>
  <c r="CI51" i="152" s="1"/>
  <c r="CL51" i="152" s="1"/>
  <c r="CO51" i="152" s="1"/>
  <c r="CR51" i="152" s="1"/>
  <c r="CU51" i="152" s="1"/>
  <c r="CV50" i="152"/>
  <c r="CW50" i="152"/>
  <c r="CW49" i="152"/>
  <c r="CV49" i="152"/>
  <c r="I49" i="152"/>
  <c r="L49" i="152" s="1"/>
  <c r="O49" i="152" s="1"/>
  <c r="R49" i="152" s="1"/>
  <c r="U49" i="152" s="1"/>
  <c r="X49" i="152" s="1"/>
  <c r="AA49" i="152" s="1"/>
  <c r="AD49" i="152" s="1"/>
  <c r="AG49" i="152" s="1"/>
  <c r="AJ49" i="152" s="1"/>
  <c r="AM49" i="152" s="1"/>
  <c r="AP49" i="152" s="1"/>
  <c r="AS49" i="152" s="1"/>
  <c r="AV49" i="152" s="1"/>
  <c r="AY49" i="152" s="1"/>
  <c r="BB49" i="152" s="1"/>
  <c r="BE49" i="152" s="1"/>
  <c r="BH49" i="152" s="1"/>
  <c r="BK49" i="152" s="1"/>
  <c r="BN49" i="152" s="1"/>
  <c r="BQ49" i="152" s="1"/>
  <c r="BT49" i="152" s="1"/>
  <c r="BW49" i="152" s="1"/>
  <c r="BZ49" i="152" s="1"/>
  <c r="CC49" i="152" s="1"/>
  <c r="CF49" i="152" s="1"/>
  <c r="CI49" i="152" s="1"/>
  <c r="CL49" i="152" s="1"/>
  <c r="CO49" i="152" s="1"/>
  <c r="CR49" i="152" s="1"/>
  <c r="CU49" i="152" s="1"/>
  <c r="CV48" i="152"/>
  <c r="CW47" i="152"/>
  <c r="CV47" i="152"/>
  <c r="I47" i="152"/>
  <c r="L47" i="152" s="1"/>
  <c r="O47" i="152" s="1"/>
  <c r="R47" i="152" s="1"/>
  <c r="U47" i="152" s="1"/>
  <c r="X47" i="152" s="1"/>
  <c r="AA47" i="152" s="1"/>
  <c r="AD47" i="152" s="1"/>
  <c r="AG47" i="152" s="1"/>
  <c r="AJ47" i="152" s="1"/>
  <c r="AM47" i="152" s="1"/>
  <c r="AP47" i="152" s="1"/>
  <c r="AS47" i="152" s="1"/>
  <c r="AV47" i="152" s="1"/>
  <c r="AY47" i="152" s="1"/>
  <c r="BB47" i="152" s="1"/>
  <c r="BE47" i="152" s="1"/>
  <c r="BH47" i="152" s="1"/>
  <c r="BK47" i="152" s="1"/>
  <c r="BN47" i="152" s="1"/>
  <c r="BQ47" i="152" s="1"/>
  <c r="BT47" i="152" s="1"/>
  <c r="BW47" i="152" s="1"/>
  <c r="BZ47" i="152" s="1"/>
  <c r="CC47" i="152" s="1"/>
  <c r="CF47" i="152" s="1"/>
  <c r="CI47" i="152" s="1"/>
  <c r="CL47" i="152" s="1"/>
  <c r="CO47" i="152" s="1"/>
  <c r="CR47" i="152" s="1"/>
  <c r="CU47" i="152" s="1"/>
  <c r="CW46" i="152"/>
  <c r="CV46" i="152"/>
  <c r="I46" i="152"/>
  <c r="L46" i="152" s="1"/>
  <c r="O46" i="152" s="1"/>
  <c r="R46" i="152" s="1"/>
  <c r="U46" i="152" s="1"/>
  <c r="X46" i="152" s="1"/>
  <c r="AA46" i="152" s="1"/>
  <c r="AD46" i="152" s="1"/>
  <c r="AG46" i="152" s="1"/>
  <c r="AJ46" i="152" s="1"/>
  <c r="AM46" i="152" s="1"/>
  <c r="AP46" i="152" s="1"/>
  <c r="AS46" i="152" s="1"/>
  <c r="AV46" i="152" s="1"/>
  <c r="AY46" i="152" s="1"/>
  <c r="BB46" i="152" s="1"/>
  <c r="BE46" i="152" s="1"/>
  <c r="BH46" i="152" s="1"/>
  <c r="BK46" i="152" s="1"/>
  <c r="BN46" i="152" s="1"/>
  <c r="BQ46" i="152" s="1"/>
  <c r="BT46" i="152" s="1"/>
  <c r="BW46" i="152" s="1"/>
  <c r="BZ46" i="152" s="1"/>
  <c r="CC46" i="152" s="1"/>
  <c r="CF46" i="152" s="1"/>
  <c r="CI46" i="152" s="1"/>
  <c r="CL46" i="152" s="1"/>
  <c r="CO46" i="152" s="1"/>
  <c r="CR46" i="152" s="1"/>
  <c r="CU46" i="152" s="1"/>
  <c r="CV45" i="152"/>
  <c r="CW45" i="152"/>
  <c r="I45" i="152"/>
  <c r="L45" i="152" s="1"/>
  <c r="O45" i="152" s="1"/>
  <c r="R45" i="152" s="1"/>
  <c r="U45" i="152" s="1"/>
  <c r="X45" i="152" s="1"/>
  <c r="AA45" i="152" s="1"/>
  <c r="AD45" i="152" s="1"/>
  <c r="AG45" i="152" s="1"/>
  <c r="AJ45" i="152" s="1"/>
  <c r="AM45" i="152" s="1"/>
  <c r="AP45" i="152" s="1"/>
  <c r="AS45" i="152" s="1"/>
  <c r="AV45" i="152" s="1"/>
  <c r="AY45" i="152" s="1"/>
  <c r="BB45" i="152" s="1"/>
  <c r="BE45" i="152" s="1"/>
  <c r="BH45" i="152" s="1"/>
  <c r="BK45" i="152" s="1"/>
  <c r="BN45" i="152" s="1"/>
  <c r="BQ45" i="152" s="1"/>
  <c r="BT45" i="152" s="1"/>
  <c r="BW45" i="152" s="1"/>
  <c r="BZ45" i="152" s="1"/>
  <c r="CC45" i="152" s="1"/>
  <c r="CF45" i="152" s="1"/>
  <c r="CI45" i="152" s="1"/>
  <c r="CL45" i="152" s="1"/>
  <c r="CO45" i="152" s="1"/>
  <c r="CR45" i="152" s="1"/>
  <c r="CU45" i="152" s="1"/>
  <c r="CW44" i="152"/>
  <c r="CV44" i="152"/>
  <c r="I44" i="152"/>
  <c r="L44" i="152" s="1"/>
  <c r="O44" i="152" s="1"/>
  <c r="R44" i="152" s="1"/>
  <c r="U44" i="152" s="1"/>
  <c r="X44" i="152" s="1"/>
  <c r="AA44" i="152" s="1"/>
  <c r="AD44" i="152" s="1"/>
  <c r="AG44" i="152" s="1"/>
  <c r="AJ44" i="152" s="1"/>
  <c r="AM44" i="152" s="1"/>
  <c r="AP44" i="152" s="1"/>
  <c r="AS44" i="152" s="1"/>
  <c r="AV44" i="152" s="1"/>
  <c r="AY44" i="152" s="1"/>
  <c r="BB44" i="152" s="1"/>
  <c r="BE44" i="152" s="1"/>
  <c r="BH44" i="152" s="1"/>
  <c r="BK44" i="152" s="1"/>
  <c r="BN44" i="152" s="1"/>
  <c r="BQ44" i="152" s="1"/>
  <c r="BT44" i="152" s="1"/>
  <c r="BW44" i="152" s="1"/>
  <c r="BZ44" i="152" s="1"/>
  <c r="CC44" i="152" s="1"/>
  <c r="CF44" i="152" s="1"/>
  <c r="CI44" i="152" s="1"/>
  <c r="CL44" i="152" s="1"/>
  <c r="CO44" i="152" s="1"/>
  <c r="CR44" i="152" s="1"/>
  <c r="CU44" i="152" s="1"/>
  <c r="CX44" i="152" s="1"/>
  <c r="CZ44" i="152" s="1"/>
  <c r="CV43" i="152"/>
  <c r="CW43" i="152"/>
  <c r="I43" i="152"/>
  <c r="L43" i="152" s="1"/>
  <c r="O43" i="152" s="1"/>
  <c r="R43" i="152" s="1"/>
  <c r="U43" i="152" s="1"/>
  <c r="X43" i="152" s="1"/>
  <c r="AA43" i="152" s="1"/>
  <c r="AD43" i="152" s="1"/>
  <c r="AG43" i="152" s="1"/>
  <c r="AJ43" i="152" s="1"/>
  <c r="AM43" i="152" s="1"/>
  <c r="AP43" i="152" s="1"/>
  <c r="AS43" i="152" s="1"/>
  <c r="AV43" i="152" s="1"/>
  <c r="AY43" i="152" s="1"/>
  <c r="BB43" i="152" s="1"/>
  <c r="BE43" i="152" s="1"/>
  <c r="BH43" i="152" s="1"/>
  <c r="BK43" i="152" s="1"/>
  <c r="BN43" i="152" s="1"/>
  <c r="BQ43" i="152" s="1"/>
  <c r="BT43" i="152" s="1"/>
  <c r="BW43" i="152" s="1"/>
  <c r="BZ43" i="152" s="1"/>
  <c r="CC43" i="152" s="1"/>
  <c r="CF43" i="152" s="1"/>
  <c r="CI43" i="152" s="1"/>
  <c r="CL43" i="152" s="1"/>
  <c r="CO43" i="152" s="1"/>
  <c r="CR43" i="152" s="1"/>
  <c r="CU43" i="152" s="1"/>
  <c r="CW42" i="152"/>
  <c r="CV42" i="152"/>
  <c r="I42" i="152"/>
  <c r="L42" i="152" s="1"/>
  <c r="O42" i="152" s="1"/>
  <c r="R42" i="152" s="1"/>
  <c r="U42" i="152" s="1"/>
  <c r="X42" i="152" s="1"/>
  <c r="AA42" i="152" s="1"/>
  <c r="AD42" i="152" s="1"/>
  <c r="AG42" i="152" s="1"/>
  <c r="AJ42" i="152" s="1"/>
  <c r="AM42" i="152" s="1"/>
  <c r="AP42" i="152" s="1"/>
  <c r="AS42" i="152" s="1"/>
  <c r="AV42" i="152" s="1"/>
  <c r="AY42" i="152" s="1"/>
  <c r="BB42" i="152" s="1"/>
  <c r="BE42" i="152" s="1"/>
  <c r="BH42" i="152" s="1"/>
  <c r="BK42" i="152" s="1"/>
  <c r="BN42" i="152" s="1"/>
  <c r="BQ42" i="152" s="1"/>
  <c r="BT42" i="152" s="1"/>
  <c r="BW42" i="152" s="1"/>
  <c r="BZ42" i="152" s="1"/>
  <c r="CC42" i="152" s="1"/>
  <c r="CF42" i="152" s="1"/>
  <c r="CI42" i="152" s="1"/>
  <c r="CL42" i="152" s="1"/>
  <c r="CO42" i="152" s="1"/>
  <c r="CR42" i="152" s="1"/>
  <c r="CU42" i="152" s="1"/>
  <c r="CW41" i="152"/>
  <c r="CV41" i="152"/>
  <c r="I41" i="152"/>
  <c r="L41" i="152" s="1"/>
  <c r="O41" i="152" s="1"/>
  <c r="R41" i="152" s="1"/>
  <c r="U41" i="152" s="1"/>
  <c r="X41" i="152" s="1"/>
  <c r="AA41" i="152" s="1"/>
  <c r="AD41" i="152" s="1"/>
  <c r="AG41" i="152" s="1"/>
  <c r="AJ41" i="152" s="1"/>
  <c r="AM41" i="152" s="1"/>
  <c r="AP41" i="152" s="1"/>
  <c r="AS41" i="152" s="1"/>
  <c r="AV41" i="152" s="1"/>
  <c r="AY41" i="152" s="1"/>
  <c r="BB41" i="152" s="1"/>
  <c r="BE41" i="152" s="1"/>
  <c r="BH41" i="152" s="1"/>
  <c r="BK41" i="152" s="1"/>
  <c r="BN41" i="152" s="1"/>
  <c r="BQ41" i="152" s="1"/>
  <c r="BT41" i="152" s="1"/>
  <c r="BW41" i="152" s="1"/>
  <c r="BZ41" i="152" s="1"/>
  <c r="CC41" i="152" s="1"/>
  <c r="CF41" i="152" s="1"/>
  <c r="CI41" i="152" s="1"/>
  <c r="CL41" i="152" s="1"/>
  <c r="CO41" i="152" s="1"/>
  <c r="CR41" i="152" s="1"/>
  <c r="CU41" i="152" s="1"/>
  <c r="CV40" i="152"/>
  <c r="CW38" i="152"/>
  <c r="CV38" i="152"/>
  <c r="I38" i="152"/>
  <c r="L38" i="152" s="1"/>
  <c r="O38" i="152" s="1"/>
  <c r="R38" i="152" s="1"/>
  <c r="U38" i="152" s="1"/>
  <c r="X38" i="152" s="1"/>
  <c r="AA38" i="152" s="1"/>
  <c r="AD38" i="152" s="1"/>
  <c r="AG38" i="152" s="1"/>
  <c r="AJ38" i="152" s="1"/>
  <c r="AM38" i="152" s="1"/>
  <c r="AP38" i="152" s="1"/>
  <c r="AS38" i="152" s="1"/>
  <c r="AV38" i="152" s="1"/>
  <c r="AY38" i="152" s="1"/>
  <c r="BB38" i="152" s="1"/>
  <c r="BE38" i="152" s="1"/>
  <c r="BH38" i="152" s="1"/>
  <c r="BK38" i="152" s="1"/>
  <c r="BN38" i="152" s="1"/>
  <c r="BQ38" i="152" s="1"/>
  <c r="BT38" i="152" s="1"/>
  <c r="BW38" i="152" s="1"/>
  <c r="BZ38" i="152" s="1"/>
  <c r="CC38" i="152" s="1"/>
  <c r="CF38" i="152" s="1"/>
  <c r="CI38" i="152" s="1"/>
  <c r="CL38" i="152" s="1"/>
  <c r="CO38" i="152" s="1"/>
  <c r="CR38" i="152" s="1"/>
  <c r="CU38" i="152" s="1"/>
  <c r="CW37" i="152"/>
  <c r="CV37" i="152"/>
  <c r="I37" i="152"/>
  <c r="L37" i="152" s="1"/>
  <c r="O37" i="152" s="1"/>
  <c r="R37" i="152" s="1"/>
  <c r="U37" i="152" s="1"/>
  <c r="X37" i="152" s="1"/>
  <c r="AA37" i="152" s="1"/>
  <c r="AD37" i="152" s="1"/>
  <c r="AG37" i="152" s="1"/>
  <c r="AJ37" i="152" s="1"/>
  <c r="AM37" i="152" s="1"/>
  <c r="AP37" i="152" s="1"/>
  <c r="AS37" i="152" s="1"/>
  <c r="AV37" i="152" s="1"/>
  <c r="AY37" i="152" s="1"/>
  <c r="BB37" i="152" s="1"/>
  <c r="BE37" i="152" s="1"/>
  <c r="BH37" i="152" s="1"/>
  <c r="BK37" i="152" s="1"/>
  <c r="BN37" i="152" s="1"/>
  <c r="BQ37" i="152" s="1"/>
  <c r="BT37" i="152" s="1"/>
  <c r="BW37" i="152" s="1"/>
  <c r="BZ37" i="152" s="1"/>
  <c r="CC37" i="152" s="1"/>
  <c r="CF37" i="152" s="1"/>
  <c r="CI37" i="152" s="1"/>
  <c r="CL37" i="152" s="1"/>
  <c r="CO37" i="152" s="1"/>
  <c r="CR37" i="152" s="1"/>
  <c r="CU37" i="152" s="1"/>
  <c r="CW36" i="152"/>
  <c r="CW35" i="152"/>
  <c r="CV35" i="152"/>
  <c r="I35" i="152"/>
  <c r="L35" i="152" s="1"/>
  <c r="O35" i="152" s="1"/>
  <c r="R35" i="152" s="1"/>
  <c r="U35" i="152" s="1"/>
  <c r="X35" i="152" s="1"/>
  <c r="AA35" i="152" s="1"/>
  <c r="AD35" i="152" s="1"/>
  <c r="AG35" i="152" s="1"/>
  <c r="AJ35" i="152" s="1"/>
  <c r="AM35" i="152" s="1"/>
  <c r="AP35" i="152" s="1"/>
  <c r="AS35" i="152" s="1"/>
  <c r="AV35" i="152" s="1"/>
  <c r="AY35" i="152" s="1"/>
  <c r="BB35" i="152" s="1"/>
  <c r="BE35" i="152" s="1"/>
  <c r="BH35" i="152" s="1"/>
  <c r="BK35" i="152" s="1"/>
  <c r="BN35" i="152" s="1"/>
  <c r="BQ35" i="152" s="1"/>
  <c r="BT35" i="152" s="1"/>
  <c r="BW35" i="152" s="1"/>
  <c r="BZ35" i="152" s="1"/>
  <c r="CC35" i="152" s="1"/>
  <c r="CF35" i="152" s="1"/>
  <c r="CI35" i="152" s="1"/>
  <c r="CL35" i="152" s="1"/>
  <c r="CO35" i="152" s="1"/>
  <c r="CR35" i="152" s="1"/>
  <c r="CU35" i="152" s="1"/>
  <c r="CW34" i="152"/>
  <c r="CV34" i="152"/>
  <c r="I34" i="152"/>
  <c r="L34" i="152" s="1"/>
  <c r="O34" i="152" s="1"/>
  <c r="R34" i="152" s="1"/>
  <c r="U34" i="152" s="1"/>
  <c r="X34" i="152" s="1"/>
  <c r="AA34" i="152" s="1"/>
  <c r="AD34" i="152" s="1"/>
  <c r="AG34" i="152" s="1"/>
  <c r="AJ34" i="152" s="1"/>
  <c r="AM34" i="152" s="1"/>
  <c r="AP34" i="152" s="1"/>
  <c r="AS34" i="152" s="1"/>
  <c r="AV34" i="152" s="1"/>
  <c r="AY34" i="152" s="1"/>
  <c r="BB34" i="152" s="1"/>
  <c r="BE34" i="152" s="1"/>
  <c r="BH34" i="152" s="1"/>
  <c r="BK34" i="152" s="1"/>
  <c r="BN34" i="152" s="1"/>
  <c r="BQ34" i="152" s="1"/>
  <c r="BT34" i="152" s="1"/>
  <c r="BW34" i="152" s="1"/>
  <c r="BZ34" i="152" s="1"/>
  <c r="CC34" i="152" s="1"/>
  <c r="CF34" i="152" s="1"/>
  <c r="CI34" i="152" s="1"/>
  <c r="CL34" i="152" s="1"/>
  <c r="CO34" i="152" s="1"/>
  <c r="CR34" i="152" s="1"/>
  <c r="CU34" i="152" s="1"/>
  <c r="CW33" i="152"/>
  <c r="CV33" i="152"/>
  <c r="I33" i="152"/>
  <c r="L33" i="152" s="1"/>
  <c r="O33" i="152" s="1"/>
  <c r="R33" i="152" s="1"/>
  <c r="U33" i="152" s="1"/>
  <c r="X33" i="152" s="1"/>
  <c r="AA33" i="152" s="1"/>
  <c r="AD33" i="152" s="1"/>
  <c r="AG33" i="152" s="1"/>
  <c r="AJ33" i="152" s="1"/>
  <c r="AM33" i="152" s="1"/>
  <c r="AP33" i="152" s="1"/>
  <c r="AS33" i="152" s="1"/>
  <c r="AV33" i="152" s="1"/>
  <c r="AY33" i="152" s="1"/>
  <c r="BB33" i="152" s="1"/>
  <c r="BE33" i="152" s="1"/>
  <c r="BH33" i="152" s="1"/>
  <c r="BK33" i="152" s="1"/>
  <c r="BN33" i="152" s="1"/>
  <c r="BQ33" i="152" s="1"/>
  <c r="BT33" i="152" s="1"/>
  <c r="BW33" i="152" s="1"/>
  <c r="BZ33" i="152" s="1"/>
  <c r="CC33" i="152" s="1"/>
  <c r="CF33" i="152" s="1"/>
  <c r="CI33" i="152" s="1"/>
  <c r="CL33" i="152" s="1"/>
  <c r="CO33" i="152" s="1"/>
  <c r="CR33" i="152" s="1"/>
  <c r="CU33" i="152" s="1"/>
  <c r="I32" i="152"/>
  <c r="L32" i="152" s="1"/>
  <c r="O32" i="152" s="1"/>
  <c r="R32" i="152" s="1"/>
  <c r="U32" i="152" s="1"/>
  <c r="X32" i="152" s="1"/>
  <c r="AA32" i="152" s="1"/>
  <c r="AD32" i="152" s="1"/>
  <c r="AG32" i="152" s="1"/>
  <c r="AJ32" i="152" s="1"/>
  <c r="AM32" i="152" s="1"/>
  <c r="AP32" i="152" s="1"/>
  <c r="AS32" i="152" s="1"/>
  <c r="AV32" i="152" s="1"/>
  <c r="AY32" i="152" s="1"/>
  <c r="BB32" i="152" s="1"/>
  <c r="BE32" i="152" s="1"/>
  <c r="BH32" i="152" s="1"/>
  <c r="BK32" i="152" s="1"/>
  <c r="BN32" i="152" s="1"/>
  <c r="BQ32" i="152" s="1"/>
  <c r="BT32" i="152" s="1"/>
  <c r="BW32" i="152" s="1"/>
  <c r="BZ32" i="152" s="1"/>
  <c r="CC32" i="152" s="1"/>
  <c r="CF32" i="152" s="1"/>
  <c r="CI32" i="152" s="1"/>
  <c r="CL32" i="152" s="1"/>
  <c r="CO32" i="152" s="1"/>
  <c r="CR32" i="152" s="1"/>
  <c r="CU32" i="152" s="1"/>
  <c r="CW31" i="152"/>
  <c r="CV31" i="152"/>
  <c r="I31" i="152"/>
  <c r="L31" i="152" s="1"/>
  <c r="O31" i="152" s="1"/>
  <c r="R31" i="152" s="1"/>
  <c r="U31" i="152" s="1"/>
  <c r="X31" i="152" s="1"/>
  <c r="AA31" i="152" s="1"/>
  <c r="AD31" i="152" s="1"/>
  <c r="AG31" i="152" s="1"/>
  <c r="AJ31" i="152" s="1"/>
  <c r="AM31" i="152" s="1"/>
  <c r="AP31" i="152" s="1"/>
  <c r="AS31" i="152" s="1"/>
  <c r="AV31" i="152" s="1"/>
  <c r="AY31" i="152" s="1"/>
  <c r="BB31" i="152" s="1"/>
  <c r="BE31" i="152" s="1"/>
  <c r="BH31" i="152" s="1"/>
  <c r="BK31" i="152" s="1"/>
  <c r="BN31" i="152" s="1"/>
  <c r="BQ31" i="152" s="1"/>
  <c r="BT31" i="152" s="1"/>
  <c r="BW31" i="152" s="1"/>
  <c r="BZ31" i="152" s="1"/>
  <c r="CC31" i="152" s="1"/>
  <c r="CF31" i="152" s="1"/>
  <c r="CI31" i="152" s="1"/>
  <c r="CL31" i="152" s="1"/>
  <c r="CO31" i="152" s="1"/>
  <c r="CR31" i="152" s="1"/>
  <c r="CU31" i="152" s="1"/>
  <c r="CW30" i="152"/>
  <c r="CV30" i="152"/>
  <c r="I30" i="152"/>
  <c r="L30" i="152" s="1"/>
  <c r="O30" i="152" s="1"/>
  <c r="R30" i="152" s="1"/>
  <c r="U30" i="152" s="1"/>
  <c r="X30" i="152" s="1"/>
  <c r="AA30" i="152" s="1"/>
  <c r="AD30" i="152" s="1"/>
  <c r="AG30" i="152" s="1"/>
  <c r="AJ30" i="152" s="1"/>
  <c r="AM30" i="152" s="1"/>
  <c r="AP30" i="152" s="1"/>
  <c r="AS30" i="152" s="1"/>
  <c r="AV30" i="152" s="1"/>
  <c r="AY30" i="152" s="1"/>
  <c r="BB30" i="152" s="1"/>
  <c r="BE30" i="152" s="1"/>
  <c r="BH30" i="152" s="1"/>
  <c r="BK30" i="152" s="1"/>
  <c r="BN30" i="152" s="1"/>
  <c r="BQ30" i="152" s="1"/>
  <c r="BT30" i="152" s="1"/>
  <c r="BW30" i="152" s="1"/>
  <c r="BZ30" i="152" s="1"/>
  <c r="CC30" i="152" s="1"/>
  <c r="CF30" i="152" s="1"/>
  <c r="CI30" i="152" s="1"/>
  <c r="CL30" i="152" s="1"/>
  <c r="CO30" i="152" s="1"/>
  <c r="CR30" i="152" s="1"/>
  <c r="CU30" i="152" s="1"/>
  <c r="I29" i="152"/>
  <c r="L29" i="152" s="1"/>
  <c r="O29" i="152" s="1"/>
  <c r="R29" i="152" s="1"/>
  <c r="U29" i="152" s="1"/>
  <c r="X29" i="152" s="1"/>
  <c r="AA29" i="152" s="1"/>
  <c r="AD29" i="152" s="1"/>
  <c r="AG29" i="152" s="1"/>
  <c r="AJ29" i="152" s="1"/>
  <c r="AM29" i="152" s="1"/>
  <c r="AP29" i="152" s="1"/>
  <c r="AS29" i="152" s="1"/>
  <c r="AV29" i="152" s="1"/>
  <c r="AY29" i="152" s="1"/>
  <c r="BB29" i="152" s="1"/>
  <c r="BE29" i="152" s="1"/>
  <c r="BH29" i="152" s="1"/>
  <c r="BK29" i="152" s="1"/>
  <c r="BN29" i="152" s="1"/>
  <c r="BQ29" i="152" s="1"/>
  <c r="BT29" i="152" s="1"/>
  <c r="BW29" i="152" s="1"/>
  <c r="BZ29" i="152" s="1"/>
  <c r="CC29" i="152" s="1"/>
  <c r="CF29" i="152" s="1"/>
  <c r="CI29" i="152" s="1"/>
  <c r="CL29" i="152" s="1"/>
  <c r="CO29" i="152" s="1"/>
  <c r="CR29" i="152" s="1"/>
  <c r="CU29" i="152" s="1"/>
  <c r="CV29" i="152"/>
  <c r="CV28" i="152"/>
  <c r="CW28" i="152"/>
  <c r="I28" i="152"/>
  <c r="L28" i="152" s="1"/>
  <c r="O28" i="152" s="1"/>
  <c r="R28" i="152" s="1"/>
  <c r="U28" i="152" s="1"/>
  <c r="X28" i="152" s="1"/>
  <c r="AA28" i="152" s="1"/>
  <c r="AD28" i="152" s="1"/>
  <c r="AG28" i="152" s="1"/>
  <c r="AJ28" i="152" s="1"/>
  <c r="AM28" i="152" s="1"/>
  <c r="AP28" i="152" s="1"/>
  <c r="AS28" i="152" s="1"/>
  <c r="AV28" i="152" s="1"/>
  <c r="AY28" i="152" s="1"/>
  <c r="BB28" i="152" s="1"/>
  <c r="BE28" i="152" s="1"/>
  <c r="BH28" i="152" s="1"/>
  <c r="BK28" i="152" s="1"/>
  <c r="BN28" i="152" s="1"/>
  <c r="BQ28" i="152" s="1"/>
  <c r="BT28" i="152" s="1"/>
  <c r="BW28" i="152" s="1"/>
  <c r="BZ28" i="152" s="1"/>
  <c r="CC28" i="152" s="1"/>
  <c r="CF28" i="152" s="1"/>
  <c r="CI28" i="152" s="1"/>
  <c r="CL28" i="152" s="1"/>
  <c r="CO28" i="152" s="1"/>
  <c r="CR28" i="152" s="1"/>
  <c r="CU28" i="152" s="1"/>
  <c r="CW27" i="152"/>
  <c r="CW26" i="152"/>
  <c r="CV25" i="152"/>
  <c r="CV24" i="152"/>
  <c r="CW24" i="152"/>
  <c r="I24" i="152"/>
  <c r="L24" i="152" s="1"/>
  <c r="O24" i="152" s="1"/>
  <c r="R24" i="152" s="1"/>
  <c r="U24" i="152" s="1"/>
  <c r="X24" i="152" s="1"/>
  <c r="AA24" i="152" s="1"/>
  <c r="AD24" i="152" s="1"/>
  <c r="AG24" i="152" s="1"/>
  <c r="AJ24" i="152" s="1"/>
  <c r="AM24" i="152" s="1"/>
  <c r="AP24" i="152" s="1"/>
  <c r="AS24" i="152" s="1"/>
  <c r="AV24" i="152" s="1"/>
  <c r="AY24" i="152" s="1"/>
  <c r="BB24" i="152" s="1"/>
  <c r="BE24" i="152" s="1"/>
  <c r="BH24" i="152" s="1"/>
  <c r="BK24" i="152" s="1"/>
  <c r="BN24" i="152" s="1"/>
  <c r="BQ24" i="152" s="1"/>
  <c r="BT24" i="152" s="1"/>
  <c r="BW24" i="152" s="1"/>
  <c r="BZ24" i="152" s="1"/>
  <c r="CC24" i="152" s="1"/>
  <c r="CF24" i="152" s="1"/>
  <c r="CI24" i="152" s="1"/>
  <c r="CL24" i="152" s="1"/>
  <c r="CO24" i="152" s="1"/>
  <c r="CR24" i="152" s="1"/>
  <c r="CU24" i="152" s="1"/>
  <c r="CV23" i="152"/>
  <c r="I23" i="152"/>
  <c r="L23" i="152" s="1"/>
  <c r="O23" i="152" s="1"/>
  <c r="R23" i="152" s="1"/>
  <c r="U23" i="152" s="1"/>
  <c r="X23" i="152" s="1"/>
  <c r="AA23" i="152" s="1"/>
  <c r="AD23" i="152" s="1"/>
  <c r="AG23" i="152" s="1"/>
  <c r="AJ23" i="152" s="1"/>
  <c r="AM23" i="152" s="1"/>
  <c r="AP23" i="152" s="1"/>
  <c r="AS23" i="152" s="1"/>
  <c r="AV23" i="152" s="1"/>
  <c r="AY23" i="152" s="1"/>
  <c r="BB23" i="152" s="1"/>
  <c r="BE23" i="152" s="1"/>
  <c r="BH23" i="152" s="1"/>
  <c r="BK23" i="152" s="1"/>
  <c r="BN23" i="152" s="1"/>
  <c r="BQ23" i="152" s="1"/>
  <c r="BT23" i="152" s="1"/>
  <c r="BW23" i="152" s="1"/>
  <c r="BZ23" i="152" s="1"/>
  <c r="CC23" i="152" s="1"/>
  <c r="CF23" i="152" s="1"/>
  <c r="CI23" i="152" s="1"/>
  <c r="CL23" i="152" s="1"/>
  <c r="CO23" i="152" s="1"/>
  <c r="CR23" i="152" s="1"/>
  <c r="CU23" i="152" s="1"/>
  <c r="CV22" i="152"/>
  <c r="CW20" i="152"/>
  <c r="CV20" i="152"/>
  <c r="I20" i="152"/>
  <c r="L20" i="152" s="1"/>
  <c r="O20" i="152" s="1"/>
  <c r="R20" i="152" s="1"/>
  <c r="U20" i="152" s="1"/>
  <c r="X20" i="152" s="1"/>
  <c r="AA20" i="152" s="1"/>
  <c r="AD20" i="152" s="1"/>
  <c r="AG20" i="152" s="1"/>
  <c r="AJ20" i="152" s="1"/>
  <c r="AM20" i="152" s="1"/>
  <c r="AP20" i="152" s="1"/>
  <c r="AS20" i="152" s="1"/>
  <c r="AV20" i="152" s="1"/>
  <c r="AY20" i="152" s="1"/>
  <c r="BB20" i="152" s="1"/>
  <c r="BE20" i="152" s="1"/>
  <c r="BH20" i="152" s="1"/>
  <c r="BK20" i="152" s="1"/>
  <c r="BN20" i="152" s="1"/>
  <c r="BQ20" i="152" s="1"/>
  <c r="BT20" i="152" s="1"/>
  <c r="BW20" i="152" s="1"/>
  <c r="BZ20" i="152" s="1"/>
  <c r="CC20" i="152" s="1"/>
  <c r="CF20" i="152" s="1"/>
  <c r="CI20" i="152" s="1"/>
  <c r="CL20" i="152" s="1"/>
  <c r="CO20" i="152" s="1"/>
  <c r="CR20" i="152" s="1"/>
  <c r="CU20" i="152" s="1"/>
  <c r="CV19" i="152"/>
  <c r="I19" i="152"/>
  <c r="L19" i="152" s="1"/>
  <c r="O19" i="152" s="1"/>
  <c r="R19" i="152" s="1"/>
  <c r="U19" i="152" s="1"/>
  <c r="X19" i="152" s="1"/>
  <c r="AA19" i="152" s="1"/>
  <c r="AD19" i="152" s="1"/>
  <c r="AG19" i="152" s="1"/>
  <c r="AJ19" i="152" s="1"/>
  <c r="AM19" i="152" s="1"/>
  <c r="AP19" i="152" s="1"/>
  <c r="AS19" i="152" s="1"/>
  <c r="AV19" i="152" s="1"/>
  <c r="AY19" i="152" s="1"/>
  <c r="BB19" i="152" s="1"/>
  <c r="BE19" i="152" s="1"/>
  <c r="BH19" i="152" s="1"/>
  <c r="BK19" i="152" s="1"/>
  <c r="BN19" i="152" s="1"/>
  <c r="BQ19" i="152" s="1"/>
  <c r="BT19" i="152" s="1"/>
  <c r="BW19" i="152" s="1"/>
  <c r="BZ19" i="152" s="1"/>
  <c r="CC19" i="152" s="1"/>
  <c r="CF19" i="152" s="1"/>
  <c r="CI19" i="152" s="1"/>
  <c r="CL19" i="152" s="1"/>
  <c r="CO19" i="152" s="1"/>
  <c r="CR19" i="152" s="1"/>
  <c r="CU19" i="152" s="1"/>
  <c r="CW18" i="152"/>
  <c r="CV18" i="152"/>
  <c r="I18" i="152"/>
  <c r="L18" i="152" s="1"/>
  <c r="O18" i="152" s="1"/>
  <c r="R18" i="152" s="1"/>
  <c r="U18" i="152" s="1"/>
  <c r="X18" i="152" s="1"/>
  <c r="AA18" i="152" s="1"/>
  <c r="AD18" i="152" s="1"/>
  <c r="AG18" i="152" s="1"/>
  <c r="AJ18" i="152" s="1"/>
  <c r="AM18" i="152" s="1"/>
  <c r="AP18" i="152" s="1"/>
  <c r="AS18" i="152" s="1"/>
  <c r="AV18" i="152" s="1"/>
  <c r="AY18" i="152" s="1"/>
  <c r="BB18" i="152" s="1"/>
  <c r="BE18" i="152" s="1"/>
  <c r="BH18" i="152" s="1"/>
  <c r="BK18" i="152" s="1"/>
  <c r="BN18" i="152" s="1"/>
  <c r="BQ18" i="152" s="1"/>
  <c r="BT18" i="152" s="1"/>
  <c r="BW18" i="152" s="1"/>
  <c r="BZ18" i="152" s="1"/>
  <c r="CC18" i="152" s="1"/>
  <c r="CF18" i="152" s="1"/>
  <c r="CI18" i="152" s="1"/>
  <c r="CL18" i="152" s="1"/>
  <c r="CO18" i="152" s="1"/>
  <c r="CR18" i="152" s="1"/>
  <c r="CU18" i="152" s="1"/>
  <c r="CW17" i="152"/>
  <c r="I17" i="152"/>
  <c r="L17" i="152" s="1"/>
  <c r="O17" i="152" s="1"/>
  <c r="R17" i="152" s="1"/>
  <c r="U17" i="152" s="1"/>
  <c r="X17" i="152" s="1"/>
  <c r="AA17" i="152" s="1"/>
  <c r="AD17" i="152" s="1"/>
  <c r="AG17" i="152" s="1"/>
  <c r="AJ17" i="152" s="1"/>
  <c r="AM17" i="152" s="1"/>
  <c r="AP17" i="152" s="1"/>
  <c r="AS17" i="152" s="1"/>
  <c r="AV17" i="152" s="1"/>
  <c r="AY17" i="152" s="1"/>
  <c r="BB17" i="152" s="1"/>
  <c r="BE17" i="152" s="1"/>
  <c r="BH17" i="152" s="1"/>
  <c r="BK17" i="152" s="1"/>
  <c r="BN17" i="152" s="1"/>
  <c r="BQ17" i="152" s="1"/>
  <c r="BT17" i="152" s="1"/>
  <c r="BW17" i="152" s="1"/>
  <c r="BZ17" i="152" s="1"/>
  <c r="CC17" i="152" s="1"/>
  <c r="CF17" i="152" s="1"/>
  <c r="CI17" i="152" s="1"/>
  <c r="CL17" i="152" s="1"/>
  <c r="CO17" i="152" s="1"/>
  <c r="CR17" i="152" s="1"/>
  <c r="CU17" i="152" s="1"/>
  <c r="I16" i="152"/>
  <c r="L16" i="152" s="1"/>
  <c r="O16" i="152" s="1"/>
  <c r="R16" i="152" s="1"/>
  <c r="U16" i="152" s="1"/>
  <c r="X16" i="152" s="1"/>
  <c r="AA16" i="152" s="1"/>
  <c r="AD16" i="152" s="1"/>
  <c r="AG16" i="152" s="1"/>
  <c r="AJ16" i="152" s="1"/>
  <c r="AM16" i="152" s="1"/>
  <c r="AP16" i="152" s="1"/>
  <c r="AS16" i="152" s="1"/>
  <c r="AV16" i="152" s="1"/>
  <c r="AY16" i="152" s="1"/>
  <c r="BB16" i="152" s="1"/>
  <c r="BE16" i="152" s="1"/>
  <c r="BH16" i="152" s="1"/>
  <c r="BK16" i="152" s="1"/>
  <c r="BN16" i="152" s="1"/>
  <c r="BQ16" i="152" s="1"/>
  <c r="BT16" i="152" s="1"/>
  <c r="BW16" i="152" s="1"/>
  <c r="BZ16" i="152" s="1"/>
  <c r="CC16" i="152" s="1"/>
  <c r="CF16" i="152" s="1"/>
  <c r="CI16" i="152" s="1"/>
  <c r="CL16" i="152" s="1"/>
  <c r="CO16" i="152" s="1"/>
  <c r="CR16" i="152" s="1"/>
  <c r="CU16" i="152" s="1"/>
  <c r="CV15" i="152"/>
  <c r="I15" i="152"/>
  <c r="L15" i="152" s="1"/>
  <c r="O15" i="152" s="1"/>
  <c r="R15" i="152" s="1"/>
  <c r="U15" i="152" s="1"/>
  <c r="X15" i="152" s="1"/>
  <c r="AA15" i="152" s="1"/>
  <c r="AD15" i="152" s="1"/>
  <c r="AG15" i="152" s="1"/>
  <c r="AJ15" i="152" s="1"/>
  <c r="AM15" i="152" s="1"/>
  <c r="AP15" i="152" s="1"/>
  <c r="AS15" i="152" s="1"/>
  <c r="AV15" i="152" s="1"/>
  <c r="AY15" i="152" s="1"/>
  <c r="BB15" i="152" s="1"/>
  <c r="BE15" i="152" s="1"/>
  <c r="BH15" i="152" s="1"/>
  <c r="BK15" i="152" s="1"/>
  <c r="BN15" i="152" s="1"/>
  <c r="BQ15" i="152" s="1"/>
  <c r="BT15" i="152" s="1"/>
  <c r="BW15" i="152" s="1"/>
  <c r="BZ15" i="152" s="1"/>
  <c r="CC15" i="152" s="1"/>
  <c r="CF15" i="152" s="1"/>
  <c r="CI15" i="152" s="1"/>
  <c r="CL15" i="152" s="1"/>
  <c r="CO15" i="152" s="1"/>
  <c r="CR15" i="152" s="1"/>
  <c r="CU15" i="152" s="1"/>
  <c r="CW15" i="152"/>
  <c r="CV14" i="152"/>
  <c r="CV13" i="152"/>
  <c r="CW13" i="152"/>
  <c r="CW12" i="152"/>
  <c r="I12" i="152"/>
  <c r="L12" i="152" s="1"/>
  <c r="O12" i="152" s="1"/>
  <c r="R12" i="152" s="1"/>
  <c r="U12" i="152" s="1"/>
  <c r="X12" i="152" s="1"/>
  <c r="AA12" i="152" s="1"/>
  <c r="AD12" i="152" s="1"/>
  <c r="AG12" i="152" s="1"/>
  <c r="AJ12" i="152" s="1"/>
  <c r="AM12" i="152" s="1"/>
  <c r="AP12" i="152" s="1"/>
  <c r="AS12" i="152" s="1"/>
  <c r="AV12" i="152" s="1"/>
  <c r="AY12" i="152" s="1"/>
  <c r="BB12" i="152" s="1"/>
  <c r="BE12" i="152" s="1"/>
  <c r="BH12" i="152" s="1"/>
  <c r="BK12" i="152" s="1"/>
  <c r="BN12" i="152" s="1"/>
  <c r="BQ12" i="152" s="1"/>
  <c r="BT12" i="152" s="1"/>
  <c r="BW12" i="152" s="1"/>
  <c r="BZ12" i="152" s="1"/>
  <c r="CC12" i="152" s="1"/>
  <c r="CF12" i="152" s="1"/>
  <c r="CI12" i="152" s="1"/>
  <c r="CL12" i="152" s="1"/>
  <c r="CO12" i="152" s="1"/>
  <c r="CR12" i="152" s="1"/>
  <c r="CU12" i="152" s="1"/>
  <c r="CW11" i="152"/>
  <c r="CV11" i="152"/>
  <c r="I11" i="152"/>
  <c r="L11" i="152" s="1"/>
  <c r="O11" i="152" s="1"/>
  <c r="R11" i="152" s="1"/>
  <c r="U11" i="152" s="1"/>
  <c r="X11" i="152" s="1"/>
  <c r="AA11" i="152" s="1"/>
  <c r="AD11" i="152" s="1"/>
  <c r="AG11" i="152" s="1"/>
  <c r="AJ11" i="152" s="1"/>
  <c r="AM11" i="152" s="1"/>
  <c r="AP11" i="152" s="1"/>
  <c r="AS11" i="152" s="1"/>
  <c r="AV11" i="152" s="1"/>
  <c r="AY11" i="152" s="1"/>
  <c r="BB11" i="152" s="1"/>
  <c r="BE11" i="152" s="1"/>
  <c r="BH11" i="152" s="1"/>
  <c r="BK11" i="152" s="1"/>
  <c r="BN11" i="152" s="1"/>
  <c r="BQ11" i="152" s="1"/>
  <c r="BT11" i="152" s="1"/>
  <c r="BW11" i="152" s="1"/>
  <c r="BZ11" i="152" s="1"/>
  <c r="CC11" i="152" s="1"/>
  <c r="CF11" i="152" s="1"/>
  <c r="CI11" i="152" s="1"/>
  <c r="CL11" i="152" s="1"/>
  <c r="CO11" i="152" s="1"/>
  <c r="CR11" i="152" s="1"/>
  <c r="CU11" i="152" s="1"/>
  <c r="CW10" i="152"/>
  <c r="CV10" i="152"/>
  <c r="I10" i="152"/>
  <c r="L10" i="152" s="1"/>
  <c r="O10" i="152" s="1"/>
  <c r="R10" i="152" s="1"/>
  <c r="U10" i="152" s="1"/>
  <c r="X10" i="152" s="1"/>
  <c r="AA10" i="152" s="1"/>
  <c r="AD10" i="152" s="1"/>
  <c r="AG10" i="152" s="1"/>
  <c r="AJ10" i="152" s="1"/>
  <c r="AM10" i="152" s="1"/>
  <c r="AP10" i="152" s="1"/>
  <c r="AS10" i="152" s="1"/>
  <c r="AV10" i="152" s="1"/>
  <c r="AY10" i="152" s="1"/>
  <c r="BB10" i="152" s="1"/>
  <c r="BE10" i="152" s="1"/>
  <c r="BH10" i="152" s="1"/>
  <c r="BK10" i="152" s="1"/>
  <c r="BN10" i="152" s="1"/>
  <c r="BQ10" i="152" s="1"/>
  <c r="BT10" i="152" s="1"/>
  <c r="BW10" i="152" s="1"/>
  <c r="BZ10" i="152" s="1"/>
  <c r="CC10" i="152" s="1"/>
  <c r="CF10" i="152" s="1"/>
  <c r="CI10" i="152" s="1"/>
  <c r="CL10" i="152" s="1"/>
  <c r="CO10" i="152" s="1"/>
  <c r="CR10" i="152" s="1"/>
  <c r="CU10" i="152" s="1"/>
  <c r="CW9" i="152"/>
  <c r="CV9" i="152"/>
  <c r="I9" i="152"/>
  <c r="L9" i="152" s="1"/>
  <c r="O9" i="152" s="1"/>
  <c r="R9" i="152" s="1"/>
  <c r="U9" i="152" s="1"/>
  <c r="X9" i="152" s="1"/>
  <c r="AA9" i="152" s="1"/>
  <c r="AD9" i="152" s="1"/>
  <c r="AG9" i="152" s="1"/>
  <c r="AJ9" i="152" s="1"/>
  <c r="AM9" i="152" s="1"/>
  <c r="AP9" i="152" s="1"/>
  <c r="AS9" i="152" s="1"/>
  <c r="AV9" i="152" s="1"/>
  <c r="AY9" i="152" s="1"/>
  <c r="BB9" i="152" s="1"/>
  <c r="BE9" i="152" s="1"/>
  <c r="BH9" i="152" s="1"/>
  <c r="BK9" i="152" s="1"/>
  <c r="BN9" i="152" s="1"/>
  <c r="BQ9" i="152" s="1"/>
  <c r="BT9" i="152" s="1"/>
  <c r="BW9" i="152" s="1"/>
  <c r="BZ9" i="152" s="1"/>
  <c r="CC9" i="152" s="1"/>
  <c r="CF9" i="152" s="1"/>
  <c r="CI9" i="152" s="1"/>
  <c r="CL9" i="152" s="1"/>
  <c r="CO9" i="152" s="1"/>
  <c r="CR9" i="152" s="1"/>
  <c r="CU9" i="152" s="1"/>
  <c r="CV8" i="152"/>
  <c r="CW8" i="152"/>
  <c r="I8" i="152"/>
  <c r="L8" i="152" s="1"/>
  <c r="O8" i="152" s="1"/>
  <c r="R8" i="152" s="1"/>
  <c r="U8" i="152" s="1"/>
  <c r="X8" i="152" s="1"/>
  <c r="AA8" i="152" s="1"/>
  <c r="AD8" i="152" s="1"/>
  <c r="AG8" i="152" s="1"/>
  <c r="AJ8" i="152" s="1"/>
  <c r="AM8" i="152" s="1"/>
  <c r="AP8" i="152" s="1"/>
  <c r="AS8" i="152" s="1"/>
  <c r="AV8" i="152" s="1"/>
  <c r="AY8" i="152" s="1"/>
  <c r="BB8" i="152" s="1"/>
  <c r="BE8" i="152" s="1"/>
  <c r="BH8" i="152" s="1"/>
  <c r="BK8" i="152" s="1"/>
  <c r="BN8" i="152" s="1"/>
  <c r="BQ8" i="152" s="1"/>
  <c r="BT8" i="152" s="1"/>
  <c r="BW8" i="152" s="1"/>
  <c r="BZ8" i="152" s="1"/>
  <c r="CC8" i="152" s="1"/>
  <c r="CF8" i="152" s="1"/>
  <c r="CI8" i="152" s="1"/>
  <c r="CL8" i="152" s="1"/>
  <c r="CO8" i="152" s="1"/>
  <c r="CR8" i="152" s="1"/>
  <c r="CU8" i="152" s="1"/>
  <c r="CW7" i="152"/>
  <c r="CV7" i="152"/>
  <c r="I7" i="152"/>
  <c r="L7" i="152" s="1"/>
  <c r="O7" i="152" s="1"/>
  <c r="R7" i="152" s="1"/>
  <c r="U7" i="152" s="1"/>
  <c r="X7" i="152" s="1"/>
  <c r="AA7" i="152" s="1"/>
  <c r="AD7" i="152" s="1"/>
  <c r="AG7" i="152" s="1"/>
  <c r="AJ7" i="152" s="1"/>
  <c r="AM7" i="152" s="1"/>
  <c r="AP7" i="152" s="1"/>
  <c r="AS7" i="152" s="1"/>
  <c r="AV7" i="152" s="1"/>
  <c r="AY7" i="152" s="1"/>
  <c r="BB7" i="152" s="1"/>
  <c r="BE7" i="152" s="1"/>
  <c r="BH7" i="152" s="1"/>
  <c r="BK7" i="152" s="1"/>
  <c r="BN7" i="152" s="1"/>
  <c r="BQ7" i="152" s="1"/>
  <c r="BT7" i="152" s="1"/>
  <c r="BW7" i="152" s="1"/>
  <c r="BZ7" i="152" s="1"/>
  <c r="CC7" i="152" s="1"/>
  <c r="CF7" i="152" s="1"/>
  <c r="CI7" i="152" s="1"/>
  <c r="CL7" i="152" s="1"/>
  <c r="CO7" i="152" s="1"/>
  <c r="CR7" i="152" s="1"/>
  <c r="CU7" i="152" s="1"/>
  <c r="CV6" i="152"/>
  <c r="CW6" i="152"/>
  <c r="I6" i="152"/>
  <c r="L6" i="152" s="1"/>
  <c r="O6" i="152" s="1"/>
  <c r="R6" i="152" s="1"/>
  <c r="U6" i="152" s="1"/>
  <c r="X6" i="152" s="1"/>
  <c r="AA6" i="152" s="1"/>
  <c r="AD6" i="152" s="1"/>
  <c r="AG6" i="152" s="1"/>
  <c r="AJ6" i="152" s="1"/>
  <c r="AM6" i="152" s="1"/>
  <c r="AP6" i="152" s="1"/>
  <c r="AS6" i="152" s="1"/>
  <c r="AV6" i="152" s="1"/>
  <c r="AY6" i="152" s="1"/>
  <c r="BB6" i="152" s="1"/>
  <c r="BE6" i="152" s="1"/>
  <c r="BH6" i="152" s="1"/>
  <c r="BK6" i="152" s="1"/>
  <c r="BN6" i="152" s="1"/>
  <c r="BQ6" i="152" s="1"/>
  <c r="BT6" i="152" s="1"/>
  <c r="BW6" i="152" s="1"/>
  <c r="BZ6" i="152" s="1"/>
  <c r="CC6" i="152" s="1"/>
  <c r="CF6" i="152" s="1"/>
  <c r="CI6" i="152" s="1"/>
  <c r="CL6" i="152" s="1"/>
  <c r="CO6" i="152" s="1"/>
  <c r="CR6" i="152" s="1"/>
  <c r="CU6" i="152" s="1"/>
  <c r="CW5" i="152"/>
  <c r="CV5" i="152"/>
  <c r="I5" i="152"/>
  <c r="L5" i="152" s="1"/>
  <c r="O5" i="152" s="1"/>
  <c r="R5" i="152" s="1"/>
  <c r="U5" i="152" s="1"/>
  <c r="X5" i="152" s="1"/>
  <c r="AA5" i="152" s="1"/>
  <c r="AD5" i="152" s="1"/>
  <c r="AG5" i="152" s="1"/>
  <c r="AJ5" i="152" s="1"/>
  <c r="AM5" i="152" s="1"/>
  <c r="AP5" i="152" s="1"/>
  <c r="AS5" i="152" s="1"/>
  <c r="AV5" i="152" s="1"/>
  <c r="AY5" i="152" s="1"/>
  <c r="BB5" i="152" s="1"/>
  <c r="BE5" i="152" s="1"/>
  <c r="BH5" i="152" s="1"/>
  <c r="BK5" i="152" s="1"/>
  <c r="BN5" i="152" s="1"/>
  <c r="BQ5" i="152" s="1"/>
  <c r="BT5" i="152" s="1"/>
  <c r="BW5" i="152" s="1"/>
  <c r="BZ5" i="152" s="1"/>
  <c r="CC5" i="152" s="1"/>
  <c r="CF5" i="152" s="1"/>
  <c r="CI5" i="152" s="1"/>
  <c r="CL5" i="152" s="1"/>
  <c r="CO5" i="152" s="1"/>
  <c r="CR5" i="152" s="1"/>
  <c r="CU5" i="152" s="1"/>
  <c r="CM60" i="150"/>
  <c r="CK60" i="150"/>
  <c r="CN16" i="150"/>
  <c r="CK77" i="150"/>
  <c r="CK25" i="150"/>
  <c r="CK19" i="150"/>
  <c r="CK14" i="150"/>
  <c r="CK15" i="150"/>
  <c r="CK71" i="150"/>
  <c r="CK6" i="150"/>
  <c r="CK16" i="150"/>
  <c r="CN40" i="150"/>
  <c r="CN13" i="150"/>
  <c r="CN48" i="150"/>
  <c r="CJ17" i="150"/>
  <c r="CK36" i="150"/>
  <c r="CK18" i="150"/>
  <c r="CJ76" i="150"/>
  <c r="CJ29" i="150"/>
  <c r="CE28" i="150"/>
  <c r="CD60" i="150"/>
  <c r="CJ12" i="150"/>
  <c r="DB66" i="152" l="1"/>
  <c r="DE66" i="152" s="1"/>
  <c r="CX66" i="152"/>
  <c r="CZ66" i="152" s="1"/>
  <c r="CX6" i="152"/>
  <c r="CZ6" i="152" s="1"/>
  <c r="DB6" i="152"/>
  <c r="DE6" i="152" s="1"/>
  <c r="DB5" i="152"/>
  <c r="DE5" i="152" s="1"/>
  <c r="CX5" i="152"/>
  <c r="CZ5" i="152" s="1"/>
  <c r="CX8" i="152"/>
  <c r="CZ8" i="152" s="1"/>
  <c r="DB8" i="152"/>
  <c r="DE8" i="152" s="1"/>
  <c r="DB18" i="152"/>
  <c r="DE18" i="152" s="1"/>
  <c r="CX18" i="152"/>
  <c r="CZ18" i="152" s="1"/>
  <c r="CX32" i="152"/>
  <c r="CZ32" i="152" s="1"/>
  <c r="DB32" i="152"/>
  <c r="DE32" i="152" s="1"/>
  <c r="DB34" i="152"/>
  <c r="DE34" i="152" s="1"/>
  <c r="CX34" i="152"/>
  <c r="CZ34" i="152" s="1"/>
  <c r="DB41" i="152"/>
  <c r="DE41" i="152" s="1"/>
  <c r="CX41" i="152"/>
  <c r="CZ41" i="152" s="1"/>
  <c r="CX16" i="152"/>
  <c r="CZ16" i="152" s="1"/>
  <c r="DB16" i="152"/>
  <c r="DE16" i="152" s="1"/>
  <c r="CX11" i="152"/>
  <c r="CZ11" i="152" s="1"/>
  <c r="DB11" i="152"/>
  <c r="DE11" i="152" s="1"/>
  <c r="DB20" i="152"/>
  <c r="DE20" i="152" s="1"/>
  <c r="CX20" i="152"/>
  <c r="CZ20" i="152" s="1"/>
  <c r="CX37" i="152"/>
  <c r="CZ37" i="152" s="1"/>
  <c r="DB37" i="152"/>
  <c r="DE37" i="152" s="1"/>
  <c r="DB9" i="152"/>
  <c r="DE9" i="152" s="1"/>
  <c r="CX9" i="152"/>
  <c r="CZ9" i="152" s="1"/>
  <c r="DB17" i="152"/>
  <c r="DE17" i="152" s="1"/>
  <c r="CX17" i="152"/>
  <c r="CZ17" i="152" s="1"/>
  <c r="CX24" i="152"/>
  <c r="CZ24" i="152" s="1"/>
  <c r="DB24" i="152"/>
  <c r="DE24" i="152" s="1"/>
  <c r="CX49" i="152"/>
  <c r="CZ49" i="152" s="1"/>
  <c r="DB49" i="152"/>
  <c r="DE49" i="152" s="1"/>
  <c r="CX12" i="152"/>
  <c r="CZ12" i="152" s="1"/>
  <c r="DB12" i="152"/>
  <c r="DE12" i="152" s="1"/>
  <c r="CX33" i="152"/>
  <c r="CZ33" i="152" s="1"/>
  <c r="DB33" i="152"/>
  <c r="DE33" i="152" s="1"/>
  <c r="DB15" i="152"/>
  <c r="DE15" i="152" s="1"/>
  <c r="CX15" i="152"/>
  <c r="CZ15" i="152" s="1"/>
  <c r="DB7" i="152"/>
  <c r="DE7" i="152" s="1"/>
  <c r="CX7" i="152"/>
  <c r="CZ7" i="152" s="1"/>
  <c r="CX23" i="152"/>
  <c r="CZ23" i="152" s="1"/>
  <c r="DB23" i="152"/>
  <c r="DE23" i="152" s="1"/>
  <c r="CX35" i="152"/>
  <c r="CZ35" i="152" s="1"/>
  <c r="DB35" i="152"/>
  <c r="DE35" i="152" s="1"/>
  <c r="CX19" i="152"/>
  <c r="CZ19" i="152" s="1"/>
  <c r="DB19" i="152"/>
  <c r="DE19" i="152" s="1"/>
  <c r="DB28" i="152"/>
  <c r="DE28" i="152" s="1"/>
  <c r="CX28" i="152"/>
  <c r="CZ28" i="152" s="1"/>
  <c r="CX29" i="152"/>
  <c r="CZ29" i="152" s="1"/>
  <c r="DB29" i="152"/>
  <c r="DE29" i="152" s="1"/>
  <c r="CX42" i="152"/>
  <c r="CZ42" i="152" s="1"/>
  <c r="DB42" i="152"/>
  <c r="DE42" i="152" s="1"/>
  <c r="CX10" i="152"/>
  <c r="CZ10" i="152" s="1"/>
  <c r="DB10" i="152"/>
  <c r="DE10" i="152" s="1"/>
  <c r="DB30" i="152"/>
  <c r="DE30" i="152" s="1"/>
  <c r="CX30" i="152"/>
  <c r="CZ30" i="152" s="1"/>
  <c r="DB38" i="152"/>
  <c r="DE38" i="152" s="1"/>
  <c r="CX38" i="152"/>
  <c r="CZ38" i="152" s="1"/>
  <c r="CW19" i="152"/>
  <c r="CW25" i="152"/>
  <c r="I25" i="152"/>
  <c r="L25" i="152" s="1"/>
  <c r="O25" i="152" s="1"/>
  <c r="R25" i="152" s="1"/>
  <c r="U25" i="152" s="1"/>
  <c r="X25" i="152" s="1"/>
  <c r="AA25" i="152" s="1"/>
  <c r="AD25" i="152" s="1"/>
  <c r="AG25" i="152" s="1"/>
  <c r="AJ25" i="152" s="1"/>
  <c r="AM25" i="152" s="1"/>
  <c r="AP25" i="152" s="1"/>
  <c r="AS25" i="152" s="1"/>
  <c r="AV25" i="152" s="1"/>
  <c r="AY25" i="152" s="1"/>
  <c r="BB25" i="152" s="1"/>
  <c r="BE25" i="152" s="1"/>
  <c r="BH25" i="152" s="1"/>
  <c r="BK25" i="152" s="1"/>
  <c r="BN25" i="152" s="1"/>
  <c r="BQ25" i="152" s="1"/>
  <c r="BT25" i="152" s="1"/>
  <c r="BW25" i="152" s="1"/>
  <c r="BZ25" i="152" s="1"/>
  <c r="CC25" i="152" s="1"/>
  <c r="CF25" i="152" s="1"/>
  <c r="CI25" i="152" s="1"/>
  <c r="CL25" i="152" s="1"/>
  <c r="CO25" i="152" s="1"/>
  <c r="CR25" i="152" s="1"/>
  <c r="CU25" i="152" s="1"/>
  <c r="CV26" i="152"/>
  <c r="I26" i="152"/>
  <c r="L26" i="152" s="1"/>
  <c r="O26" i="152" s="1"/>
  <c r="R26" i="152" s="1"/>
  <c r="U26" i="152" s="1"/>
  <c r="X26" i="152" s="1"/>
  <c r="AA26" i="152" s="1"/>
  <c r="AD26" i="152" s="1"/>
  <c r="AG26" i="152" s="1"/>
  <c r="AJ26" i="152" s="1"/>
  <c r="AM26" i="152" s="1"/>
  <c r="AP26" i="152" s="1"/>
  <c r="AS26" i="152" s="1"/>
  <c r="AV26" i="152" s="1"/>
  <c r="AY26" i="152" s="1"/>
  <c r="BB26" i="152" s="1"/>
  <c r="BE26" i="152" s="1"/>
  <c r="BH26" i="152" s="1"/>
  <c r="BK26" i="152" s="1"/>
  <c r="BN26" i="152" s="1"/>
  <c r="BQ26" i="152" s="1"/>
  <c r="BT26" i="152" s="1"/>
  <c r="BW26" i="152" s="1"/>
  <c r="BZ26" i="152" s="1"/>
  <c r="CC26" i="152" s="1"/>
  <c r="CF26" i="152" s="1"/>
  <c r="CI26" i="152" s="1"/>
  <c r="CL26" i="152" s="1"/>
  <c r="CO26" i="152" s="1"/>
  <c r="CR26" i="152" s="1"/>
  <c r="CU26" i="152" s="1"/>
  <c r="DB31" i="152"/>
  <c r="DE31" i="152" s="1"/>
  <c r="CX31" i="152"/>
  <c r="CZ31" i="152" s="1"/>
  <c r="CX51" i="152"/>
  <c r="CZ51" i="152" s="1"/>
  <c r="DB51" i="152"/>
  <c r="DE51" i="152" s="1"/>
  <c r="DB54" i="152"/>
  <c r="DE54" i="152" s="1"/>
  <c r="CX54" i="152"/>
  <c r="CZ54" i="152" s="1"/>
  <c r="CX59" i="152"/>
  <c r="CZ59" i="152" s="1"/>
  <c r="DB59" i="152"/>
  <c r="DE59" i="152" s="1"/>
  <c r="DB47" i="152"/>
  <c r="DE47" i="152" s="1"/>
  <c r="CX47" i="152"/>
  <c r="CZ47" i="152" s="1"/>
  <c r="I13" i="152"/>
  <c r="L13" i="152" s="1"/>
  <c r="O13" i="152" s="1"/>
  <c r="R13" i="152" s="1"/>
  <c r="U13" i="152" s="1"/>
  <c r="X13" i="152" s="1"/>
  <c r="AA13" i="152" s="1"/>
  <c r="AD13" i="152" s="1"/>
  <c r="AG13" i="152" s="1"/>
  <c r="AJ13" i="152" s="1"/>
  <c r="AM13" i="152" s="1"/>
  <c r="AP13" i="152" s="1"/>
  <c r="AS13" i="152" s="1"/>
  <c r="AV13" i="152" s="1"/>
  <c r="AY13" i="152" s="1"/>
  <c r="BB13" i="152" s="1"/>
  <c r="BE13" i="152" s="1"/>
  <c r="BH13" i="152" s="1"/>
  <c r="BK13" i="152" s="1"/>
  <c r="BN13" i="152" s="1"/>
  <c r="BQ13" i="152" s="1"/>
  <c r="BT13" i="152" s="1"/>
  <c r="BW13" i="152" s="1"/>
  <c r="BZ13" i="152" s="1"/>
  <c r="CC13" i="152" s="1"/>
  <c r="CF13" i="152" s="1"/>
  <c r="CI13" i="152" s="1"/>
  <c r="CL13" i="152" s="1"/>
  <c r="CO13" i="152" s="1"/>
  <c r="CR13" i="152" s="1"/>
  <c r="CU13" i="152" s="1"/>
  <c r="CW16" i="152"/>
  <c r="CV21" i="152"/>
  <c r="I21" i="152"/>
  <c r="L21" i="152" s="1"/>
  <c r="O21" i="152" s="1"/>
  <c r="R21" i="152" s="1"/>
  <c r="U21" i="152" s="1"/>
  <c r="X21" i="152" s="1"/>
  <c r="AA21" i="152" s="1"/>
  <c r="AD21" i="152" s="1"/>
  <c r="AG21" i="152" s="1"/>
  <c r="AJ21" i="152" s="1"/>
  <c r="AM21" i="152" s="1"/>
  <c r="AP21" i="152" s="1"/>
  <c r="AS21" i="152" s="1"/>
  <c r="AV21" i="152" s="1"/>
  <c r="AY21" i="152" s="1"/>
  <c r="BB21" i="152" s="1"/>
  <c r="BE21" i="152" s="1"/>
  <c r="BH21" i="152" s="1"/>
  <c r="BK21" i="152" s="1"/>
  <c r="BN21" i="152" s="1"/>
  <c r="BQ21" i="152" s="1"/>
  <c r="BT21" i="152" s="1"/>
  <c r="BW21" i="152" s="1"/>
  <c r="BZ21" i="152" s="1"/>
  <c r="CC21" i="152" s="1"/>
  <c r="CF21" i="152" s="1"/>
  <c r="CI21" i="152" s="1"/>
  <c r="CL21" i="152" s="1"/>
  <c r="CO21" i="152" s="1"/>
  <c r="CR21" i="152" s="1"/>
  <c r="CU21" i="152" s="1"/>
  <c r="CW32" i="152"/>
  <c r="CW14" i="152"/>
  <c r="I14" i="152"/>
  <c r="L14" i="152" s="1"/>
  <c r="O14" i="152" s="1"/>
  <c r="R14" i="152" s="1"/>
  <c r="U14" i="152" s="1"/>
  <c r="X14" i="152" s="1"/>
  <c r="AA14" i="152" s="1"/>
  <c r="AD14" i="152" s="1"/>
  <c r="AG14" i="152" s="1"/>
  <c r="AJ14" i="152" s="1"/>
  <c r="AM14" i="152" s="1"/>
  <c r="AP14" i="152" s="1"/>
  <c r="AS14" i="152" s="1"/>
  <c r="AV14" i="152" s="1"/>
  <c r="AY14" i="152" s="1"/>
  <c r="BB14" i="152" s="1"/>
  <c r="BE14" i="152" s="1"/>
  <c r="BH14" i="152" s="1"/>
  <c r="BK14" i="152" s="1"/>
  <c r="BN14" i="152" s="1"/>
  <c r="BQ14" i="152" s="1"/>
  <c r="BT14" i="152" s="1"/>
  <c r="BW14" i="152" s="1"/>
  <c r="BZ14" i="152" s="1"/>
  <c r="CC14" i="152" s="1"/>
  <c r="CF14" i="152" s="1"/>
  <c r="CI14" i="152" s="1"/>
  <c r="CL14" i="152" s="1"/>
  <c r="CO14" i="152" s="1"/>
  <c r="CR14" i="152" s="1"/>
  <c r="CU14" i="152" s="1"/>
  <c r="DB60" i="152"/>
  <c r="DE60" i="152" s="1"/>
  <c r="CX60" i="152"/>
  <c r="CZ60" i="152" s="1"/>
  <c r="CX62" i="152"/>
  <c r="CZ62" i="152" s="1"/>
  <c r="DB62" i="152"/>
  <c r="DE62" i="152" s="1"/>
  <c r="CV12" i="152"/>
  <c r="CX46" i="152"/>
  <c r="CZ46" i="152" s="1"/>
  <c r="DB46" i="152"/>
  <c r="DE46" i="152" s="1"/>
  <c r="CX55" i="152"/>
  <c r="CZ55" i="152" s="1"/>
  <c r="DB55" i="152"/>
  <c r="DE55" i="152" s="1"/>
  <c r="CV16" i="152"/>
  <c r="CV17" i="152"/>
  <c r="CW21" i="152"/>
  <c r="CV27" i="152"/>
  <c r="I27" i="152"/>
  <c r="L27" i="152" s="1"/>
  <c r="O27" i="152" s="1"/>
  <c r="R27" i="152" s="1"/>
  <c r="U27" i="152" s="1"/>
  <c r="X27" i="152" s="1"/>
  <c r="AA27" i="152" s="1"/>
  <c r="AD27" i="152" s="1"/>
  <c r="AG27" i="152" s="1"/>
  <c r="AJ27" i="152" s="1"/>
  <c r="AM27" i="152" s="1"/>
  <c r="AP27" i="152" s="1"/>
  <c r="AS27" i="152" s="1"/>
  <c r="AV27" i="152" s="1"/>
  <c r="AY27" i="152" s="1"/>
  <c r="BB27" i="152" s="1"/>
  <c r="BE27" i="152" s="1"/>
  <c r="BH27" i="152" s="1"/>
  <c r="BK27" i="152" s="1"/>
  <c r="BN27" i="152" s="1"/>
  <c r="BQ27" i="152" s="1"/>
  <c r="BT27" i="152" s="1"/>
  <c r="BW27" i="152" s="1"/>
  <c r="BZ27" i="152" s="1"/>
  <c r="CC27" i="152" s="1"/>
  <c r="CF27" i="152" s="1"/>
  <c r="CI27" i="152" s="1"/>
  <c r="CL27" i="152" s="1"/>
  <c r="CO27" i="152" s="1"/>
  <c r="CR27" i="152" s="1"/>
  <c r="CU27" i="152" s="1"/>
  <c r="I36" i="152"/>
  <c r="L36" i="152" s="1"/>
  <c r="O36" i="152" s="1"/>
  <c r="R36" i="152" s="1"/>
  <c r="U36" i="152" s="1"/>
  <c r="X36" i="152" s="1"/>
  <c r="AA36" i="152" s="1"/>
  <c r="AD36" i="152" s="1"/>
  <c r="AG36" i="152" s="1"/>
  <c r="AJ36" i="152" s="1"/>
  <c r="AM36" i="152" s="1"/>
  <c r="AP36" i="152" s="1"/>
  <c r="AS36" i="152" s="1"/>
  <c r="AV36" i="152" s="1"/>
  <c r="AY36" i="152" s="1"/>
  <c r="BB36" i="152" s="1"/>
  <c r="BE36" i="152" s="1"/>
  <c r="BH36" i="152" s="1"/>
  <c r="BK36" i="152" s="1"/>
  <c r="BN36" i="152" s="1"/>
  <c r="BQ36" i="152" s="1"/>
  <c r="BT36" i="152" s="1"/>
  <c r="BW36" i="152" s="1"/>
  <c r="BZ36" i="152" s="1"/>
  <c r="CC36" i="152" s="1"/>
  <c r="CF36" i="152" s="1"/>
  <c r="CI36" i="152" s="1"/>
  <c r="CL36" i="152" s="1"/>
  <c r="CO36" i="152" s="1"/>
  <c r="CR36" i="152" s="1"/>
  <c r="CU36" i="152" s="1"/>
  <c r="CV36" i="152"/>
  <c r="CW40" i="152"/>
  <c r="I40" i="152"/>
  <c r="L40" i="152" s="1"/>
  <c r="O40" i="152" s="1"/>
  <c r="R40" i="152" s="1"/>
  <c r="U40" i="152" s="1"/>
  <c r="X40" i="152" s="1"/>
  <c r="AA40" i="152" s="1"/>
  <c r="AD40" i="152" s="1"/>
  <c r="AG40" i="152" s="1"/>
  <c r="AJ40" i="152" s="1"/>
  <c r="AM40" i="152" s="1"/>
  <c r="AP40" i="152" s="1"/>
  <c r="AS40" i="152" s="1"/>
  <c r="AV40" i="152" s="1"/>
  <c r="AY40" i="152" s="1"/>
  <c r="BB40" i="152" s="1"/>
  <c r="BE40" i="152" s="1"/>
  <c r="BH40" i="152" s="1"/>
  <c r="BK40" i="152" s="1"/>
  <c r="BN40" i="152" s="1"/>
  <c r="BQ40" i="152" s="1"/>
  <c r="BT40" i="152" s="1"/>
  <c r="BW40" i="152" s="1"/>
  <c r="BZ40" i="152" s="1"/>
  <c r="CC40" i="152" s="1"/>
  <c r="CF40" i="152" s="1"/>
  <c r="CI40" i="152" s="1"/>
  <c r="CL40" i="152" s="1"/>
  <c r="CO40" i="152" s="1"/>
  <c r="CR40" i="152" s="1"/>
  <c r="CU40" i="152" s="1"/>
  <c r="CX43" i="152"/>
  <c r="CZ43" i="152" s="1"/>
  <c r="DB43" i="152"/>
  <c r="DE43" i="152" s="1"/>
  <c r="DB57" i="152"/>
  <c r="DE57" i="152" s="1"/>
  <c r="CX57" i="152"/>
  <c r="CZ57" i="152" s="1"/>
  <c r="CW23" i="152"/>
  <c r="DB44" i="152"/>
  <c r="DE44" i="152" s="1"/>
  <c r="CW22" i="152"/>
  <c r="I22" i="152"/>
  <c r="L22" i="152" s="1"/>
  <c r="O22" i="152" s="1"/>
  <c r="R22" i="152" s="1"/>
  <c r="U22" i="152" s="1"/>
  <c r="X22" i="152" s="1"/>
  <c r="AA22" i="152" s="1"/>
  <c r="AD22" i="152" s="1"/>
  <c r="AG22" i="152" s="1"/>
  <c r="AJ22" i="152" s="1"/>
  <c r="AM22" i="152" s="1"/>
  <c r="AP22" i="152" s="1"/>
  <c r="AS22" i="152" s="1"/>
  <c r="AV22" i="152" s="1"/>
  <c r="AY22" i="152" s="1"/>
  <c r="BB22" i="152" s="1"/>
  <c r="BE22" i="152" s="1"/>
  <c r="BH22" i="152" s="1"/>
  <c r="BK22" i="152" s="1"/>
  <c r="BN22" i="152" s="1"/>
  <c r="BQ22" i="152" s="1"/>
  <c r="BT22" i="152" s="1"/>
  <c r="BW22" i="152" s="1"/>
  <c r="BZ22" i="152" s="1"/>
  <c r="CC22" i="152" s="1"/>
  <c r="CF22" i="152" s="1"/>
  <c r="CI22" i="152" s="1"/>
  <c r="CL22" i="152" s="1"/>
  <c r="CO22" i="152" s="1"/>
  <c r="CR22" i="152" s="1"/>
  <c r="CU22" i="152" s="1"/>
  <c r="CX45" i="152"/>
  <c r="CZ45" i="152" s="1"/>
  <c r="DB45" i="152"/>
  <c r="DE45" i="152" s="1"/>
  <c r="DB53" i="152"/>
  <c r="DE53" i="152" s="1"/>
  <c r="CX53" i="152"/>
  <c r="CZ53" i="152" s="1"/>
  <c r="CX52" i="152"/>
  <c r="CZ52" i="152" s="1"/>
  <c r="DB52" i="152"/>
  <c r="DE52" i="152" s="1"/>
  <c r="DB74" i="152"/>
  <c r="DE74" i="152" s="1"/>
  <c r="CX74" i="152"/>
  <c r="CZ74" i="152" s="1"/>
  <c r="DB70" i="152"/>
  <c r="DE70" i="152" s="1"/>
  <c r="CX70" i="152"/>
  <c r="CZ70" i="152" s="1"/>
  <c r="I39" i="152"/>
  <c r="L39" i="152" s="1"/>
  <c r="O39" i="152" s="1"/>
  <c r="R39" i="152" s="1"/>
  <c r="U39" i="152" s="1"/>
  <c r="X39" i="152" s="1"/>
  <c r="AA39" i="152" s="1"/>
  <c r="AD39" i="152" s="1"/>
  <c r="AG39" i="152" s="1"/>
  <c r="AJ39" i="152" s="1"/>
  <c r="AM39" i="152" s="1"/>
  <c r="AP39" i="152" s="1"/>
  <c r="AS39" i="152" s="1"/>
  <c r="AV39" i="152" s="1"/>
  <c r="AY39" i="152" s="1"/>
  <c r="BB39" i="152" s="1"/>
  <c r="BE39" i="152" s="1"/>
  <c r="BH39" i="152" s="1"/>
  <c r="BK39" i="152" s="1"/>
  <c r="BN39" i="152" s="1"/>
  <c r="BQ39" i="152" s="1"/>
  <c r="BT39" i="152" s="1"/>
  <c r="BW39" i="152" s="1"/>
  <c r="BZ39" i="152" s="1"/>
  <c r="CC39" i="152" s="1"/>
  <c r="CF39" i="152" s="1"/>
  <c r="CI39" i="152" s="1"/>
  <c r="CL39" i="152" s="1"/>
  <c r="CO39" i="152" s="1"/>
  <c r="CR39" i="152" s="1"/>
  <c r="CU39" i="152" s="1"/>
  <c r="CV39" i="152"/>
  <c r="CX64" i="152"/>
  <c r="CZ64" i="152" s="1"/>
  <c r="DB64" i="152"/>
  <c r="DE64" i="152" s="1"/>
  <c r="DB71" i="152"/>
  <c r="DE71" i="152" s="1"/>
  <c r="CX71" i="152"/>
  <c r="CZ71" i="152" s="1"/>
  <c r="DB79" i="152"/>
  <c r="DE79" i="152" s="1"/>
  <c r="CX79" i="152"/>
  <c r="CZ79" i="152" s="1"/>
  <c r="CV32" i="152"/>
  <c r="CW39" i="152"/>
  <c r="CX56" i="152"/>
  <c r="CZ56" i="152" s="1"/>
  <c r="DB56" i="152"/>
  <c r="DE56" i="152" s="1"/>
  <c r="DB61" i="152"/>
  <c r="DE61" i="152" s="1"/>
  <c r="CX61" i="152"/>
  <c r="CZ61" i="152" s="1"/>
  <c r="CX75" i="152"/>
  <c r="CZ75" i="152" s="1"/>
  <c r="DB75" i="152"/>
  <c r="DE75" i="152" s="1"/>
  <c r="DB82" i="152"/>
  <c r="DE82" i="152" s="1"/>
  <c r="CX82" i="152"/>
  <c r="CZ82" i="152" s="1"/>
  <c r="CW29" i="152"/>
  <c r="DB68" i="152"/>
  <c r="DE68" i="152" s="1"/>
  <c r="CX68" i="152"/>
  <c r="CZ68" i="152" s="1"/>
  <c r="I48" i="152"/>
  <c r="L48" i="152" s="1"/>
  <c r="O48" i="152" s="1"/>
  <c r="R48" i="152" s="1"/>
  <c r="U48" i="152" s="1"/>
  <c r="X48" i="152" s="1"/>
  <c r="AA48" i="152" s="1"/>
  <c r="AD48" i="152" s="1"/>
  <c r="AG48" i="152" s="1"/>
  <c r="AJ48" i="152" s="1"/>
  <c r="AM48" i="152" s="1"/>
  <c r="AP48" i="152" s="1"/>
  <c r="AS48" i="152" s="1"/>
  <c r="AV48" i="152" s="1"/>
  <c r="AY48" i="152" s="1"/>
  <c r="BB48" i="152" s="1"/>
  <c r="BE48" i="152" s="1"/>
  <c r="BH48" i="152" s="1"/>
  <c r="BK48" i="152" s="1"/>
  <c r="BN48" i="152" s="1"/>
  <c r="BQ48" i="152" s="1"/>
  <c r="BT48" i="152" s="1"/>
  <c r="BW48" i="152" s="1"/>
  <c r="BZ48" i="152" s="1"/>
  <c r="CC48" i="152" s="1"/>
  <c r="CF48" i="152" s="1"/>
  <c r="CI48" i="152" s="1"/>
  <c r="CL48" i="152" s="1"/>
  <c r="CO48" i="152" s="1"/>
  <c r="CR48" i="152" s="1"/>
  <c r="CU48" i="152" s="1"/>
  <c r="CW48" i="152"/>
  <c r="DB72" i="152"/>
  <c r="DE72" i="152" s="1"/>
  <c r="CX72" i="152"/>
  <c r="CZ72" i="152" s="1"/>
  <c r="CW60" i="152"/>
  <c r="DB92" i="152"/>
  <c r="DE92" i="152" s="1"/>
  <c r="CX92" i="152"/>
  <c r="CZ92" i="152" s="1"/>
  <c r="CX80" i="152"/>
  <c r="CZ80" i="152" s="1"/>
  <c r="DB80" i="152"/>
  <c r="DE80" i="152" s="1"/>
  <c r="DB81" i="152"/>
  <c r="DE81" i="152" s="1"/>
  <c r="CX81" i="152"/>
  <c r="CZ81" i="152" s="1"/>
  <c r="DB83" i="152"/>
  <c r="DE83" i="152" s="1"/>
  <c r="CX83" i="152"/>
  <c r="CZ83" i="152" s="1"/>
  <c r="I50" i="152"/>
  <c r="L50" i="152" s="1"/>
  <c r="O50" i="152" s="1"/>
  <c r="R50" i="152" s="1"/>
  <c r="U50" i="152" s="1"/>
  <c r="X50" i="152" s="1"/>
  <c r="AA50" i="152" s="1"/>
  <c r="AD50" i="152" s="1"/>
  <c r="AG50" i="152" s="1"/>
  <c r="AJ50" i="152" s="1"/>
  <c r="AM50" i="152" s="1"/>
  <c r="AP50" i="152" s="1"/>
  <c r="AS50" i="152" s="1"/>
  <c r="AV50" i="152" s="1"/>
  <c r="AY50" i="152" s="1"/>
  <c r="BB50" i="152" s="1"/>
  <c r="BE50" i="152" s="1"/>
  <c r="BH50" i="152" s="1"/>
  <c r="BK50" i="152" s="1"/>
  <c r="BN50" i="152" s="1"/>
  <c r="BQ50" i="152" s="1"/>
  <c r="BT50" i="152" s="1"/>
  <c r="BW50" i="152" s="1"/>
  <c r="BZ50" i="152" s="1"/>
  <c r="CC50" i="152" s="1"/>
  <c r="CF50" i="152" s="1"/>
  <c r="CI50" i="152" s="1"/>
  <c r="CL50" i="152" s="1"/>
  <c r="CO50" i="152" s="1"/>
  <c r="CR50" i="152" s="1"/>
  <c r="CU50" i="152" s="1"/>
  <c r="CW59" i="152"/>
  <c r="AM63" i="152"/>
  <c r="AP63" i="152" s="1"/>
  <c r="AS63" i="152" s="1"/>
  <c r="AV63" i="152" s="1"/>
  <c r="AY63" i="152" s="1"/>
  <c r="BB63" i="152" s="1"/>
  <c r="BE63" i="152" s="1"/>
  <c r="BH63" i="152" s="1"/>
  <c r="BK63" i="152" s="1"/>
  <c r="BN63" i="152" s="1"/>
  <c r="BQ63" i="152" s="1"/>
  <c r="BT63" i="152" s="1"/>
  <c r="BW63" i="152" s="1"/>
  <c r="BZ63" i="152" s="1"/>
  <c r="CC63" i="152" s="1"/>
  <c r="CF63" i="152" s="1"/>
  <c r="CI63" i="152" s="1"/>
  <c r="CL63" i="152" s="1"/>
  <c r="CO63" i="152" s="1"/>
  <c r="CR63" i="152" s="1"/>
  <c r="CU63" i="152" s="1"/>
  <c r="CX67" i="152"/>
  <c r="CZ67" i="152" s="1"/>
  <c r="DB67" i="152"/>
  <c r="DE67" i="152" s="1"/>
  <c r="CX73" i="152"/>
  <c r="CZ73" i="152" s="1"/>
  <c r="DB73" i="152"/>
  <c r="DE73" i="152" s="1"/>
  <c r="DB91" i="152"/>
  <c r="DE91" i="152" s="1"/>
  <c r="CX91" i="152"/>
  <c r="CZ91" i="152" s="1"/>
  <c r="CW63" i="152"/>
  <c r="DB69" i="152"/>
  <c r="DE69" i="152" s="1"/>
  <c r="CX69" i="152"/>
  <c r="CZ69" i="152" s="1"/>
  <c r="CW58" i="152"/>
  <c r="R58" i="152"/>
  <c r="U58" i="152" s="1"/>
  <c r="X58" i="152" s="1"/>
  <c r="AA58" i="152" s="1"/>
  <c r="AD58" i="152" s="1"/>
  <c r="AG58" i="152" s="1"/>
  <c r="AJ58" i="152" s="1"/>
  <c r="AM58" i="152" s="1"/>
  <c r="AP58" i="152" s="1"/>
  <c r="AS58" i="152" s="1"/>
  <c r="AV58" i="152" s="1"/>
  <c r="AY58" i="152" s="1"/>
  <c r="BB58" i="152" s="1"/>
  <c r="BE58" i="152" s="1"/>
  <c r="BH58" i="152" s="1"/>
  <c r="BK58" i="152" s="1"/>
  <c r="BN58" i="152" s="1"/>
  <c r="BQ58" i="152" s="1"/>
  <c r="BT58" i="152" s="1"/>
  <c r="BW58" i="152" s="1"/>
  <c r="BZ58" i="152" s="1"/>
  <c r="CC58" i="152" s="1"/>
  <c r="CF58" i="152" s="1"/>
  <c r="CI58" i="152" s="1"/>
  <c r="CL58" i="152" s="1"/>
  <c r="CO58" i="152" s="1"/>
  <c r="CR58" i="152" s="1"/>
  <c r="CU58" i="152" s="1"/>
  <c r="AY76" i="152"/>
  <c r="BB76" i="152" s="1"/>
  <c r="BE76" i="152" s="1"/>
  <c r="BH76" i="152" s="1"/>
  <c r="BK76" i="152" s="1"/>
  <c r="BN76" i="152" s="1"/>
  <c r="BQ76" i="152" s="1"/>
  <c r="BT76" i="152" s="1"/>
  <c r="BW76" i="152" s="1"/>
  <c r="BZ76" i="152" s="1"/>
  <c r="CC76" i="152" s="1"/>
  <c r="CF76" i="152" s="1"/>
  <c r="CI76" i="152" s="1"/>
  <c r="CL76" i="152" s="1"/>
  <c r="CO76" i="152" s="1"/>
  <c r="CR76" i="152" s="1"/>
  <c r="CU76" i="152" s="1"/>
  <c r="DB87" i="152"/>
  <c r="DE87" i="152" s="1"/>
  <c r="CX87" i="152"/>
  <c r="CZ87" i="152" s="1"/>
  <c r="DB85" i="152"/>
  <c r="DE85" i="152" s="1"/>
  <c r="CX85" i="152"/>
  <c r="CZ85" i="152" s="1"/>
  <c r="CX89" i="152"/>
  <c r="CZ89" i="152" s="1"/>
  <c r="DB89" i="152"/>
  <c r="DE89" i="152" s="1"/>
  <c r="CV60" i="152"/>
  <c r="CW65" i="152"/>
  <c r="I65" i="152"/>
  <c r="L65" i="152" s="1"/>
  <c r="O65" i="152" s="1"/>
  <c r="R65" i="152" s="1"/>
  <c r="U65" i="152" s="1"/>
  <c r="X65" i="152" s="1"/>
  <c r="AA65" i="152" s="1"/>
  <c r="AD65" i="152" s="1"/>
  <c r="AG65" i="152" s="1"/>
  <c r="AJ65" i="152" s="1"/>
  <c r="AM65" i="152" s="1"/>
  <c r="AP65" i="152" s="1"/>
  <c r="AS65" i="152" s="1"/>
  <c r="AV65" i="152" s="1"/>
  <c r="AY65" i="152" s="1"/>
  <c r="BB65" i="152" s="1"/>
  <c r="BE65" i="152" s="1"/>
  <c r="BH65" i="152" s="1"/>
  <c r="BK65" i="152" s="1"/>
  <c r="BN65" i="152" s="1"/>
  <c r="BQ65" i="152" s="1"/>
  <c r="BT65" i="152" s="1"/>
  <c r="BW65" i="152" s="1"/>
  <c r="BZ65" i="152" s="1"/>
  <c r="CC65" i="152" s="1"/>
  <c r="CF65" i="152" s="1"/>
  <c r="CI65" i="152" s="1"/>
  <c r="CL65" i="152" s="1"/>
  <c r="CO65" i="152" s="1"/>
  <c r="CR65" i="152" s="1"/>
  <c r="CU65" i="152" s="1"/>
  <c r="DB84" i="152"/>
  <c r="DE84" i="152" s="1"/>
  <c r="CX84" i="152"/>
  <c r="CZ84" i="152" s="1"/>
  <c r="CX88" i="152"/>
  <c r="CZ88" i="152" s="1"/>
  <c r="DB88" i="152"/>
  <c r="DE88" i="152" s="1"/>
  <c r="DB93" i="152"/>
  <c r="DE93" i="152" s="1"/>
  <c r="CX93" i="152"/>
  <c r="CZ93" i="152" s="1"/>
  <c r="CX86" i="152"/>
  <c r="CZ86" i="152" s="1"/>
  <c r="DB86" i="152"/>
  <c r="DE86" i="152" s="1"/>
  <c r="CV76" i="152"/>
  <c r="DB90" i="152"/>
  <c r="DE90" i="152" s="1"/>
  <c r="CX90" i="152"/>
  <c r="CZ90" i="152" s="1"/>
  <c r="CW76" i="152"/>
  <c r="CW77" i="152"/>
  <c r="I77" i="152"/>
  <c r="L77" i="152" s="1"/>
  <c r="O77" i="152" s="1"/>
  <c r="R77" i="152" s="1"/>
  <c r="U77" i="152" s="1"/>
  <c r="X77" i="152" s="1"/>
  <c r="AA77" i="152" s="1"/>
  <c r="AD77" i="152" s="1"/>
  <c r="AG77" i="152" s="1"/>
  <c r="AJ77" i="152" s="1"/>
  <c r="AM77" i="152" s="1"/>
  <c r="AP77" i="152" s="1"/>
  <c r="AS77" i="152" s="1"/>
  <c r="AV77" i="152" s="1"/>
  <c r="AY77" i="152" s="1"/>
  <c r="BB77" i="152" s="1"/>
  <c r="BE77" i="152" s="1"/>
  <c r="BH77" i="152" s="1"/>
  <c r="BK77" i="152" s="1"/>
  <c r="BN77" i="152" s="1"/>
  <c r="BQ77" i="152" s="1"/>
  <c r="BT77" i="152" s="1"/>
  <c r="BW77" i="152" s="1"/>
  <c r="BZ77" i="152" s="1"/>
  <c r="CC77" i="152" s="1"/>
  <c r="CF77" i="152" s="1"/>
  <c r="CI77" i="152" s="1"/>
  <c r="CL77" i="152" s="1"/>
  <c r="CO77" i="152" s="1"/>
  <c r="CR77" i="152" s="1"/>
  <c r="CU77" i="152" s="1"/>
  <c r="CW82" i="152"/>
  <c r="CJ32" i="150"/>
  <c r="CX48" i="152" l="1"/>
  <c r="CZ48" i="152" s="1"/>
  <c r="DB48" i="152"/>
  <c r="DE48" i="152" s="1"/>
  <c r="CX40" i="152"/>
  <c r="CZ40" i="152" s="1"/>
  <c r="DB40" i="152"/>
  <c r="DE40" i="152" s="1"/>
  <c r="CX13" i="152"/>
  <c r="CZ13" i="152" s="1"/>
  <c r="DB13" i="152"/>
  <c r="DE13" i="152" s="1"/>
  <c r="CX22" i="152"/>
  <c r="CZ22" i="152" s="1"/>
  <c r="DB22" i="152"/>
  <c r="DE22" i="152" s="1"/>
  <c r="DB63" i="152"/>
  <c r="DE63" i="152" s="1"/>
  <c r="CX63" i="152"/>
  <c r="CZ63" i="152" s="1"/>
  <c r="DB14" i="152"/>
  <c r="DE14" i="152" s="1"/>
  <c r="CX14" i="152"/>
  <c r="CZ14" i="152" s="1"/>
  <c r="DB50" i="152"/>
  <c r="DE50" i="152" s="1"/>
  <c r="CX50" i="152"/>
  <c r="CZ50" i="152" s="1"/>
  <c r="CX36" i="152"/>
  <c r="CZ36" i="152" s="1"/>
  <c r="DB36" i="152"/>
  <c r="DE36" i="152" s="1"/>
  <c r="CX26" i="152"/>
  <c r="CZ26" i="152" s="1"/>
  <c r="DB26" i="152"/>
  <c r="DE26" i="152" s="1"/>
  <c r="DB65" i="152"/>
  <c r="DE65" i="152" s="1"/>
  <c r="CX65" i="152"/>
  <c r="CZ65" i="152" s="1"/>
  <c r="CX27" i="152"/>
  <c r="CZ27" i="152" s="1"/>
  <c r="DB27" i="152"/>
  <c r="DE27" i="152" s="1"/>
  <c r="CX76" i="152"/>
  <c r="CZ76" i="152" s="1"/>
  <c r="DB76" i="152"/>
  <c r="DE76" i="152" s="1"/>
  <c r="DB21" i="152"/>
  <c r="DE21" i="152" s="1"/>
  <c r="CX21" i="152"/>
  <c r="CZ21" i="152" s="1"/>
  <c r="DB25" i="152"/>
  <c r="DE25" i="152" s="1"/>
  <c r="CX25" i="152"/>
  <c r="CZ25" i="152" s="1"/>
  <c r="DB77" i="152"/>
  <c r="DE77" i="152" s="1"/>
  <c r="CX77" i="152"/>
  <c r="CZ77" i="152" s="1"/>
  <c r="DB58" i="152"/>
  <c r="DE58" i="152" s="1"/>
  <c r="CX58" i="152"/>
  <c r="CZ58" i="152" s="1"/>
  <c r="DB39" i="152"/>
  <c r="DE39" i="152" s="1"/>
  <c r="CX39" i="152"/>
  <c r="CZ39" i="152" s="1"/>
  <c r="CJ36" i="150"/>
  <c r="CK63" i="150"/>
  <c r="CK59" i="150"/>
  <c r="CK17" i="150"/>
  <c r="CK29" i="150"/>
  <c r="CK12" i="150"/>
  <c r="CK28" i="150"/>
  <c r="CE43" i="150"/>
  <c r="CE27" i="150"/>
  <c r="CE25" i="150"/>
  <c r="CE65" i="150"/>
  <c r="CE32" i="150"/>
  <c r="CE77" i="150"/>
  <c r="CE22" i="150"/>
  <c r="CE60" i="150"/>
  <c r="CE40" i="150"/>
  <c r="CE19" i="150"/>
  <c r="CE16" i="150"/>
  <c r="CE15" i="150"/>
  <c r="CE14" i="150"/>
  <c r="CE58" i="150"/>
  <c r="CE48" i="150"/>
  <c r="CD39" i="150"/>
  <c r="CD76" i="150"/>
  <c r="CD36" i="150"/>
  <c r="CD32" i="150"/>
  <c r="CD29" i="150"/>
  <c r="CD21" i="150"/>
  <c r="CD17" i="150"/>
  <c r="CE83" i="150"/>
  <c r="CE76" i="150"/>
  <c r="CE63" i="150"/>
  <c r="CE59" i="150"/>
  <c r="CE17" i="150"/>
  <c r="CE29" i="150"/>
  <c r="CE12" i="150"/>
  <c r="CZ94" i="152" l="1"/>
  <c r="CZ95" i="152" s="1"/>
  <c r="CE8" i="150"/>
  <c r="CE6" i="150" l="1"/>
  <c r="CE13" i="150"/>
  <c r="CB40" i="150"/>
  <c r="CB27" i="150"/>
  <c r="CB25" i="150"/>
  <c r="CB22" i="150"/>
  <c r="CB6" i="150"/>
  <c r="CB58" i="150"/>
  <c r="CB15" i="150"/>
  <c r="CB14" i="150"/>
  <c r="CB48" i="150"/>
  <c r="CA76" i="150"/>
  <c r="CA53" i="150"/>
  <c r="CA36" i="150"/>
  <c r="CA32" i="150"/>
  <c r="CA29" i="150"/>
  <c r="CA17" i="150"/>
  <c r="CB83" i="150"/>
  <c r="CB82" i="150"/>
  <c r="CB76" i="150"/>
  <c r="CB63" i="150"/>
  <c r="CB59" i="150"/>
  <c r="CB17" i="150"/>
  <c r="CB29" i="150"/>
  <c r="CB39" i="150"/>
  <c r="CB12" i="150"/>
  <c r="CB32" i="150"/>
  <c r="CB21" i="150"/>
  <c r="CB81" i="150" l="1"/>
  <c r="CB60" i="150"/>
  <c r="CB23" i="150"/>
  <c r="CB16" i="150"/>
  <c r="BY39" i="150"/>
  <c r="BY16" i="150"/>
  <c r="BY18" i="150"/>
  <c r="BY29" i="150"/>
  <c r="BY14" i="150"/>
  <c r="BX76" i="150"/>
  <c r="BR17" i="150"/>
  <c r="BS48" i="150"/>
  <c r="BY48" i="150"/>
  <c r="BY40" i="150" l="1"/>
  <c r="BY25" i="150"/>
  <c r="BY22" i="150"/>
  <c r="BY19" i="150"/>
  <c r="BY15" i="150"/>
  <c r="BY60" i="150"/>
  <c r="BY80" i="150"/>
  <c r="BY27" i="150"/>
  <c r="BY77" i="150"/>
  <c r="BY13" i="150"/>
  <c r="BX16" i="150"/>
  <c r="BX21" i="150"/>
  <c r="BX65" i="150"/>
  <c r="BX39" i="150"/>
  <c r="BX32" i="150"/>
  <c r="BX29" i="150"/>
  <c r="BY83" i="150"/>
  <c r="BY76" i="150"/>
  <c r="BY63" i="150"/>
  <c r="BY59" i="150"/>
  <c r="BY17" i="150"/>
  <c r="BY12" i="150"/>
  <c r="BY32" i="150"/>
  <c r="BY21" i="150"/>
  <c r="BY65" i="150" l="1"/>
  <c r="BY23" i="150"/>
  <c r="BS76" i="150"/>
  <c r="BR76" i="150"/>
  <c r="BS16" i="150"/>
  <c r="BS29" i="150"/>
  <c r="BS17" i="150"/>
  <c r="BS12" i="150"/>
  <c r="BS13" i="150"/>
  <c r="BS14" i="150"/>
  <c r="BS65" i="150"/>
  <c r="BS27" i="150"/>
  <c r="BS40" i="150"/>
  <c r="BS60" i="150"/>
  <c r="BS58" i="150"/>
  <c r="BS24" i="150"/>
  <c r="BS15" i="150"/>
  <c r="BS25" i="150"/>
  <c r="BS32" i="150"/>
  <c r="BS22" i="150"/>
  <c r="BS77" i="150"/>
  <c r="BS6" i="150"/>
  <c r="BS71" i="150"/>
  <c r="BS43" i="150"/>
  <c r="BS18" i="150"/>
  <c r="BR21" i="150"/>
  <c r="BS23" i="150"/>
  <c r="BS19" i="150"/>
  <c r="BS59" i="150"/>
  <c r="BR65" i="150"/>
  <c r="BR39" i="150"/>
  <c r="BR36" i="150"/>
  <c r="BS83" i="150"/>
  <c r="BS82" i="150"/>
  <c r="BS63" i="150"/>
  <c r="BP65" i="150"/>
  <c r="BO17" i="150"/>
  <c r="BO76" i="150"/>
  <c r="BP14" i="150"/>
  <c r="BP25" i="150"/>
  <c r="BP16" i="150"/>
  <c r="BP18" i="150"/>
  <c r="BP58" i="150"/>
  <c r="BP77" i="150"/>
  <c r="BP29" i="150"/>
  <c r="BP39" i="150"/>
  <c r="BP36" i="150"/>
  <c r="BS21" i="150"/>
  <c r="BP15" i="150"/>
  <c r="BP40" i="150"/>
  <c r="BP27" i="150"/>
  <c r="BP22" i="150"/>
  <c r="BP24" i="150"/>
  <c r="BP43" i="150"/>
  <c r="BP6" i="150"/>
  <c r="BJ76" i="150"/>
  <c r="BO36" i="150"/>
  <c r="BO32" i="150" l="1"/>
  <c r="BO29" i="150"/>
  <c r="BO12" i="150"/>
  <c r="BP83" i="150"/>
  <c r="BP76" i="150"/>
  <c r="BP63" i="150"/>
  <c r="BP59" i="150"/>
  <c r="BP17" i="150"/>
  <c r="BP12" i="150"/>
  <c r="BP32" i="150"/>
  <c r="BP21" i="150"/>
  <c r="BJ14" i="150"/>
  <c r="BJ6" i="150"/>
  <c r="BJ15" i="150"/>
  <c r="BJ65" i="150"/>
  <c r="BJ40" i="150"/>
  <c r="BJ27" i="150"/>
  <c r="BJ22" i="150"/>
  <c r="BJ19" i="150"/>
  <c r="BJ58" i="150"/>
  <c r="BJ25" i="150"/>
  <c r="BJ77" i="150"/>
  <c r="BJ48" i="150"/>
  <c r="BJ39" i="150"/>
  <c r="BJ60" i="150"/>
  <c r="BI76" i="150"/>
  <c r="BI65" i="150"/>
  <c r="BI36" i="150"/>
  <c r="BI32" i="150"/>
  <c r="BI29" i="150"/>
  <c r="BI21" i="150"/>
  <c r="BI17" i="150"/>
  <c r="BI16" i="150"/>
  <c r="BJ83" i="150"/>
  <c r="BJ82" i="150"/>
  <c r="BJ63" i="150"/>
  <c r="BJ59" i="150"/>
  <c r="BJ17" i="150"/>
  <c r="BJ29" i="150"/>
  <c r="BJ12" i="150"/>
  <c r="BJ32" i="150"/>
  <c r="BJ21" i="150"/>
  <c r="BJ23" i="150" l="1"/>
  <c r="BG16" i="150"/>
  <c r="BG22" i="150"/>
  <c r="BG77" i="150"/>
  <c r="BJ13" i="150"/>
  <c r="BG60" i="150"/>
  <c r="BG40" i="150"/>
  <c r="BG27" i="150"/>
  <c r="BG15" i="150"/>
  <c r="BG14" i="150"/>
  <c r="BG48" i="150"/>
  <c r="BG29" i="150"/>
  <c r="BG13" i="150"/>
  <c r="BG6" i="150"/>
  <c r="BF76" i="150"/>
  <c r="BF36" i="150"/>
  <c r="BF17" i="150"/>
  <c r="BF16" i="150"/>
  <c r="BG83" i="150"/>
  <c r="BG76" i="150"/>
  <c r="BG63" i="150"/>
  <c r="BG59" i="150"/>
  <c r="BG39" i="150"/>
  <c r="BG12" i="150"/>
  <c r="BG32" i="150"/>
  <c r="F2" i="151"/>
  <c r="BG23" i="150"/>
  <c r="BD59" i="150"/>
  <c r="BD16" i="150"/>
  <c r="BD36" i="150"/>
  <c r="BD80" i="150"/>
  <c r="BD27" i="150"/>
  <c r="BD23" i="150"/>
  <c r="BD13" i="150"/>
  <c r="BD71" i="150"/>
  <c r="BD40" i="150"/>
  <c r="BD22" i="150"/>
  <c r="BD15" i="150"/>
  <c r="BD14" i="150"/>
  <c r="BD60" i="150"/>
  <c r="BD18" i="150"/>
  <c r="BD77" i="150"/>
  <c r="BD28" i="150"/>
  <c r="AO77" i="150"/>
  <c r="AX77" i="150"/>
  <c r="BD29" i="150"/>
  <c r="BC29" i="150"/>
  <c r="BC76" i="150"/>
  <c r="BC42" i="150"/>
  <c r="BD83" i="150"/>
  <c r="BD76" i="150"/>
  <c r="BD63" i="150"/>
  <c r="BD17" i="150"/>
  <c r="BD39" i="150"/>
  <c r="BD12" i="150"/>
  <c r="BD32" i="150"/>
  <c r="BD21" i="150"/>
  <c r="AX60" i="150"/>
  <c r="AX40" i="150"/>
  <c r="AX16" i="150"/>
  <c r="AX14" i="150"/>
  <c r="AX65" i="150"/>
  <c r="AX27" i="150"/>
  <c r="AX23" i="150"/>
  <c r="AX58" i="150"/>
  <c r="AX25" i="150"/>
  <c r="AX15" i="150"/>
  <c r="AX6" i="150"/>
  <c r="AX22" i="150"/>
  <c r="AX48" i="150"/>
  <c r="AX13" i="150"/>
  <c r="BD48" i="150"/>
  <c r="AX45" i="150" l="1"/>
  <c r="AX39" i="150"/>
  <c r="AW76" i="150"/>
  <c r="AW36" i="150"/>
  <c r="AW32" i="150"/>
  <c r="AW29" i="150"/>
  <c r="AW21" i="150"/>
  <c r="AW17" i="150"/>
  <c r="AW12" i="150"/>
  <c r="AX83" i="150"/>
  <c r="AX82" i="150"/>
  <c r="AX76" i="150"/>
  <c r="AX63" i="150"/>
  <c r="AX17" i="150"/>
  <c r="AX29" i="150"/>
  <c r="AX12" i="150"/>
  <c r="AX32" i="150"/>
  <c r="AX21" i="150"/>
  <c r="AX36" i="150" l="1"/>
  <c r="AX53" i="150" l="1"/>
  <c r="AU36" i="150"/>
  <c r="AT43" i="150"/>
  <c r="AT71" i="150"/>
  <c r="AU71" i="150"/>
  <c r="AU40" i="150"/>
  <c r="AU27" i="150"/>
  <c r="AU25" i="150"/>
  <c r="AU22" i="150"/>
  <c r="AU15" i="150"/>
  <c r="AU65" i="150"/>
  <c r="AU6" i="150"/>
  <c r="AU16" i="150"/>
  <c r="AU77" i="150"/>
  <c r="AT32" i="150"/>
  <c r="AT12" i="150"/>
  <c r="AU60" i="150"/>
  <c r="AU48" i="150"/>
  <c r="AU58" i="150"/>
  <c r="AU14" i="150"/>
  <c r="AT76" i="150"/>
  <c r="AU76" i="150"/>
  <c r="AT29" i="150"/>
  <c r="AT17" i="150"/>
  <c r="AT16" i="150"/>
  <c r="AU83" i="150"/>
  <c r="AU82" i="150"/>
  <c r="AU63" i="150"/>
  <c r="AU59" i="150"/>
  <c r="AU17" i="150"/>
  <c r="AU29" i="150"/>
  <c r="AU39" i="150"/>
  <c r="AO65" i="150"/>
  <c r="AO40" i="150"/>
  <c r="AO43" i="150"/>
  <c r="AO83" i="150"/>
  <c r="AO82" i="150"/>
  <c r="AO76" i="150"/>
  <c r="AO29" i="150"/>
  <c r="AO12" i="150"/>
  <c r="AO32" i="150"/>
  <c r="AO21" i="150"/>
  <c r="AN83" i="150"/>
  <c r="AO25" i="150"/>
  <c r="AO14" i="150"/>
  <c r="AO6" i="150"/>
  <c r="AO60" i="150"/>
  <c r="AO69" i="150"/>
  <c r="AO27" i="150"/>
  <c r="AO58" i="150"/>
  <c r="AO48" i="150"/>
  <c r="AO22" i="150"/>
  <c r="AO15" i="150"/>
  <c r="AI40" i="150"/>
  <c r="AN76" i="150"/>
  <c r="AN36" i="150"/>
  <c r="AN32" i="150"/>
  <c r="AN29" i="150"/>
  <c r="AN26" i="150"/>
  <c r="AN21" i="150"/>
  <c r="AN17" i="150"/>
  <c r="AN12" i="150"/>
  <c r="AO63" i="150"/>
  <c r="AO59" i="150"/>
  <c r="AO17" i="150"/>
  <c r="AO39" i="150"/>
  <c r="AO23" i="150"/>
  <c r="AO16" i="150"/>
  <c r="AK26" i="150"/>
  <c r="AL40" i="150"/>
  <c r="AL19" i="150"/>
  <c r="AL14" i="150"/>
  <c r="AL6" i="150"/>
  <c r="AL77" i="150"/>
  <c r="AL58" i="150"/>
  <c r="AL27" i="150"/>
  <c r="AL25" i="150"/>
  <c r="AL15" i="150"/>
  <c r="AL48" i="150"/>
  <c r="AL45" i="150"/>
  <c r="AL16" i="150"/>
  <c r="AK76" i="150"/>
  <c r="AK36" i="150"/>
  <c r="AK32" i="150"/>
  <c r="AK29" i="150"/>
  <c r="AK17" i="150"/>
  <c r="AK16" i="150"/>
  <c r="AK12" i="150"/>
  <c r="AL83" i="150" l="1"/>
  <c r="AL76" i="150"/>
  <c r="AL63" i="150"/>
  <c r="AL59" i="150"/>
  <c r="AL17" i="150"/>
  <c r="AL29" i="150"/>
  <c r="AL39" i="150"/>
  <c r="AL12" i="150"/>
  <c r="AL32" i="150"/>
  <c r="AL21" i="150"/>
  <c r="AH59" i="150" l="1"/>
  <c r="AI59" i="150"/>
  <c r="AI29" i="150"/>
  <c r="AI14" i="150"/>
  <c r="AL60" i="150"/>
  <c r="AL23" i="150"/>
  <c r="AI25" i="150"/>
  <c r="AI22" i="150"/>
  <c r="AI71" i="150"/>
  <c r="AI27" i="150"/>
  <c r="AI19" i="150"/>
  <c r="AI16" i="150"/>
  <c r="AI65" i="150"/>
  <c r="AI15" i="150"/>
  <c r="AI60" i="150"/>
  <c r="AI80" i="150"/>
  <c r="AI77" i="150"/>
  <c r="AI48" i="150"/>
  <c r="AI18" i="150"/>
  <c r="AI13" i="150"/>
  <c r="AC40" i="150"/>
  <c r="AI28" i="150"/>
  <c r="AH76" i="150"/>
  <c r="AH60" i="150"/>
  <c r="AH32" i="150"/>
  <c r="AH29" i="150"/>
  <c r="AH17" i="150"/>
  <c r="AI83" i="150"/>
  <c r="AI76" i="150"/>
  <c r="AI63" i="150"/>
  <c r="AI17" i="150"/>
  <c r="AI12" i="150"/>
  <c r="AI32" i="150"/>
  <c r="AC65" i="150"/>
  <c r="AC27" i="150"/>
  <c r="AC14" i="150"/>
  <c r="AC13" i="150"/>
  <c r="AC48" i="150"/>
  <c r="AC43" i="150"/>
  <c r="AC22" i="150"/>
  <c r="AC60" i="150"/>
  <c r="AC58" i="150"/>
  <c r="AC18" i="150"/>
  <c r="AC16" i="150"/>
  <c r="AC15" i="150"/>
  <c r="AC6" i="150"/>
  <c r="AC77" i="150"/>
  <c r="AC76" i="150"/>
  <c r="AC47" i="150"/>
  <c r="M81" i="150"/>
  <c r="AI39" i="150"/>
  <c r="AC71" i="150"/>
  <c r="AC23" i="150"/>
  <c r="AC19" i="150"/>
  <c r="AC25" i="150"/>
  <c r="AB12" i="150"/>
  <c r="AB17" i="150"/>
  <c r="Y17" i="150"/>
  <c r="AB76" i="150"/>
  <c r="AB36" i="150"/>
  <c r="AB32" i="150"/>
  <c r="AB29" i="150"/>
  <c r="AC32" i="150"/>
  <c r="AC83" i="150"/>
  <c r="AC82" i="150"/>
  <c r="AC63" i="150"/>
  <c r="AC59" i="150"/>
  <c r="AC17" i="150"/>
  <c r="AC29" i="150"/>
  <c r="AC39" i="150"/>
  <c r="AC12" i="150"/>
  <c r="Z65" i="150"/>
  <c r="Z58" i="150"/>
  <c r="Z16" i="150"/>
  <c r="Z27" i="150"/>
  <c r="Z77" i="150"/>
  <c r="Z39" i="150"/>
  <c r="Z36" i="150"/>
  <c r="T22" i="150"/>
  <c r="Z25" i="150"/>
  <c r="Z15" i="150"/>
  <c r="Z14" i="150"/>
  <c r="Z40" i="150"/>
  <c r="Z60" i="150"/>
  <c r="Z22" i="150"/>
  <c r="Z6" i="150"/>
  <c r="Z29" i="150"/>
  <c r="Y21" i="150"/>
  <c r="Y76" i="150"/>
  <c r="Y65" i="150"/>
  <c r="Y36" i="150"/>
  <c r="Y32" i="150"/>
  <c r="Y29" i="150"/>
  <c r="Z32" i="150"/>
  <c r="Z17" i="150"/>
  <c r="T17" i="150"/>
  <c r="Z76" i="150"/>
  <c r="Z59" i="150"/>
  <c r="Z12" i="150"/>
  <c r="T16" i="150" l="1"/>
  <c r="T14" i="150"/>
  <c r="S26" i="150"/>
  <c r="T27" i="150"/>
  <c r="T40" i="150"/>
  <c r="H22" i="150"/>
  <c r="T60" i="150"/>
  <c r="T19" i="150"/>
  <c r="T6" i="150"/>
  <c r="T15" i="150"/>
  <c r="T77" i="150"/>
  <c r="T58" i="150"/>
  <c r="T63" i="150"/>
  <c r="Q63" i="150"/>
  <c r="S63" i="150"/>
  <c r="S76" i="150"/>
  <c r="S60" i="150"/>
  <c r="S36" i="150"/>
  <c r="S32" i="150"/>
  <c r="S29" i="150"/>
  <c r="S21" i="150"/>
  <c r="S17" i="150"/>
  <c r="T29" i="150"/>
  <c r="T83" i="150"/>
  <c r="T76" i="150"/>
  <c r="T59" i="150"/>
  <c r="T39" i="150"/>
  <c r="T12" i="150"/>
  <c r="T32" i="150"/>
  <c r="T21" i="150"/>
  <c r="P29" i="150"/>
  <c r="T25" i="150"/>
  <c r="Q18" i="150"/>
  <c r="T36" i="150"/>
  <c r="T26" i="150"/>
  <c r="T23" i="150"/>
  <c r="T53" i="150"/>
  <c r="Q16" i="150"/>
  <c r="Q29" i="150"/>
  <c r="Q60" i="150"/>
  <c r="Q40" i="150"/>
  <c r="Q27" i="150"/>
  <c r="Q77" i="150"/>
  <c r="Q58" i="150"/>
  <c r="Q48" i="150"/>
  <c r="Q15" i="150"/>
  <c r="Q22" i="150"/>
  <c r="Q14" i="150"/>
  <c r="Q13" i="150"/>
  <c r="Q6" i="150"/>
  <c r="T13" i="150"/>
  <c r="T48" i="150"/>
  <c r="P76" i="150"/>
  <c r="P60" i="150"/>
  <c r="P36" i="150"/>
  <c r="P32" i="150"/>
  <c r="P21" i="150"/>
  <c r="P17" i="150"/>
  <c r="Q83" i="150"/>
  <c r="Q76" i="150"/>
  <c r="Q59" i="150"/>
  <c r="Q17" i="150"/>
  <c r="Q39" i="150"/>
  <c r="Q12" i="150"/>
  <c r="Q32" i="150"/>
  <c r="M36" i="150" l="1"/>
  <c r="M69" i="150" l="1"/>
  <c r="N76" i="150"/>
  <c r="N77" i="150"/>
  <c r="N13" i="150"/>
  <c r="N60" i="150"/>
  <c r="N65" i="150"/>
  <c r="N16" i="150"/>
  <c r="N27" i="150"/>
  <c r="N23" i="150"/>
  <c r="N48" i="150"/>
  <c r="N40" i="150"/>
  <c r="N14" i="150"/>
  <c r="N80" i="150"/>
  <c r="N25" i="150"/>
  <c r="N15" i="150"/>
  <c r="N18" i="150"/>
  <c r="N22" i="150"/>
  <c r="M60" i="150"/>
  <c r="M76" i="150"/>
  <c r="M42" i="150"/>
  <c r="M39" i="150"/>
  <c r="M32" i="150"/>
  <c r="M29" i="150"/>
  <c r="M17" i="150"/>
  <c r="N63" i="150" l="1"/>
  <c r="N59" i="150"/>
  <c r="N17" i="150"/>
  <c r="N29" i="150"/>
  <c r="N39" i="150"/>
  <c r="N12" i="150"/>
  <c r="N32" i="150"/>
  <c r="G15" i="150"/>
  <c r="H15" i="150"/>
  <c r="H14" i="150"/>
  <c r="H16" i="150"/>
  <c r="H40" i="150"/>
  <c r="H59" i="150"/>
  <c r="H60" i="150"/>
  <c r="H65" i="150"/>
  <c r="H27" i="150"/>
  <c r="H48" i="150"/>
  <c r="H45" i="150"/>
  <c r="H25" i="150"/>
  <c r="H29" i="150"/>
  <c r="H58" i="150"/>
  <c r="G77" i="150"/>
  <c r="H77" i="150"/>
  <c r="CS65" i="146" l="1"/>
  <c r="H36" i="150"/>
  <c r="H39" i="150"/>
  <c r="K40" i="150"/>
  <c r="H13" i="150"/>
  <c r="K15" i="150"/>
  <c r="K6" i="150"/>
  <c r="G76" i="150"/>
  <c r="H83" i="150"/>
  <c r="G60" i="150" l="1"/>
  <c r="G53" i="150"/>
  <c r="G39" i="150"/>
  <c r="G36" i="150"/>
  <c r="G32" i="150"/>
  <c r="G29" i="150"/>
  <c r="G27" i="150"/>
  <c r="G26" i="150"/>
  <c r="G22" i="150"/>
  <c r="G21" i="150"/>
  <c r="G17" i="150"/>
  <c r="G12" i="150"/>
  <c r="H76" i="150" l="1"/>
  <c r="H63" i="150"/>
  <c r="H17" i="150"/>
  <c r="H32" i="150"/>
  <c r="H50" i="150"/>
  <c r="CS50" i="146"/>
  <c r="CS56" i="146"/>
  <c r="DD19" i="146"/>
  <c r="DD71" i="146" l="1"/>
  <c r="DD43" i="146"/>
  <c r="DD6" i="146"/>
  <c r="DD65" i="146"/>
  <c r="DD16" i="146"/>
  <c r="DD14" i="146"/>
  <c r="DD25" i="146"/>
  <c r="I48" i="150"/>
  <c r="L48" i="150" s="1"/>
  <c r="O48" i="150" s="1"/>
  <c r="R48" i="150" s="1"/>
  <c r="U48" i="150" s="1"/>
  <c r="X48" i="150" s="1"/>
  <c r="AA48" i="150" s="1"/>
  <c r="AD48" i="150" s="1"/>
  <c r="AG48" i="150" s="1"/>
  <c r="AJ48" i="150" s="1"/>
  <c r="AM48" i="150" s="1"/>
  <c r="AP48" i="150" s="1"/>
  <c r="AS48" i="150" s="1"/>
  <c r="I13" i="150"/>
  <c r="L13" i="150" s="1"/>
  <c r="O13" i="150" s="1"/>
  <c r="R13" i="150" s="1"/>
  <c r="U13" i="150" s="1"/>
  <c r="X13" i="150" s="1"/>
  <c r="AA13" i="150" s="1"/>
  <c r="AD13" i="150" s="1"/>
  <c r="AG13" i="150" s="1"/>
  <c r="AJ13" i="150" s="1"/>
  <c r="AM13" i="150" s="1"/>
  <c r="AP13" i="150" s="1"/>
  <c r="AS13" i="150" s="1"/>
  <c r="AV13" i="150" s="1"/>
  <c r="AY13" i="150" s="1"/>
  <c r="BB13" i="150" s="1"/>
  <c r="BE13" i="150" s="1"/>
  <c r="BH13" i="150" s="1"/>
  <c r="BK13" i="150" s="1"/>
  <c r="BN13" i="150" s="1"/>
  <c r="BQ13" i="150" s="1"/>
  <c r="BT13" i="150" s="1"/>
  <c r="BW13" i="150" s="1"/>
  <c r="BZ13" i="150" s="1"/>
  <c r="CC13" i="150" s="1"/>
  <c r="CF13" i="150" s="1"/>
  <c r="CI13" i="150" s="1"/>
  <c r="CL13" i="150" s="1"/>
  <c r="CO13" i="150" s="1"/>
  <c r="CR13" i="150" s="1"/>
  <c r="CU13" i="150" s="1"/>
  <c r="CN27" i="146"/>
  <c r="CN28" i="146"/>
  <c r="DD27" i="146"/>
  <c r="DD22" i="146"/>
  <c r="DD40" i="146"/>
  <c r="DD77" i="146"/>
  <c r="DD48" i="146"/>
  <c r="CT28" i="146"/>
  <c r="DD60" i="146"/>
  <c r="CS29" i="146"/>
  <c r="CS76" i="146"/>
  <c r="CW93" i="150"/>
  <c r="CV93" i="150"/>
  <c r="I93" i="150"/>
  <c r="L93" i="150" s="1"/>
  <c r="O93" i="150" s="1"/>
  <c r="R93" i="150" s="1"/>
  <c r="U93" i="150" s="1"/>
  <c r="X93" i="150" s="1"/>
  <c r="AA93" i="150" s="1"/>
  <c r="AD93" i="150" s="1"/>
  <c r="AG93" i="150" s="1"/>
  <c r="AJ93" i="150" s="1"/>
  <c r="AM93" i="150" s="1"/>
  <c r="AP93" i="150" s="1"/>
  <c r="AS93" i="150" s="1"/>
  <c r="AV93" i="150" s="1"/>
  <c r="AY93" i="150" s="1"/>
  <c r="BB93" i="150" s="1"/>
  <c r="BE93" i="150" s="1"/>
  <c r="BH93" i="150" s="1"/>
  <c r="BK93" i="150" s="1"/>
  <c r="BN93" i="150" s="1"/>
  <c r="BQ93" i="150" s="1"/>
  <c r="BT93" i="150" s="1"/>
  <c r="BW93" i="150" s="1"/>
  <c r="BZ93" i="150" s="1"/>
  <c r="CC93" i="150" s="1"/>
  <c r="CF93" i="150" s="1"/>
  <c r="CI93" i="150" s="1"/>
  <c r="CL93" i="150" s="1"/>
  <c r="CO93" i="150" s="1"/>
  <c r="CR93" i="150" s="1"/>
  <c r="CU93" i="150" s="1"/>
  <c r="CW92" i="150"/>
  <c r="CV92" i="150"/>
  <c r="I92" i="150"/>
  <c r="L92" i="150" s="1"/>
  <c r="O92" i="150" s="1"/>
  <c r="R92" i="150" s="1"/>
  <c r="U92" i="150" s="1"/>
  <c r="X92" i="150" s="1"/>
  <c r="AA92" i="150" s="1"/>
  <c r="AD92" i="150" s="1"/>
  <c r="AG92" i="150" s="1"/>
  <c r="AJ92" i="150" s="1"/>
  <c r="AM92" i="150" s="1"/>
  <c r="AP92" i="150" s="1"/>
  <c r="AS92" i="150" s="1"/>
  <c r="AV92" i="150" s="1"/>
  <c r="AY92" i="150" s="1"/>
  <c r="BB92" i="150" s="1"/>
  <c r="BE92" i="150" s="1"/>
  <c r="BH92" i="150" s="1"/>
  <c r="BK92" i="150" s="1"/>
  <c r="BN92" i="150" s="1"/>
  <c r="BQ92" i="150" s="1"/>
  <c r="BT92" i="150" s="1"/>
  <c r="BW92" i="150" s="1"/>
  <c r="BZ92" i="150" s="1"/>
  <c r="CC92" i="150" s="1"/>
  <c r="CF92" i="150" s="1"/>
  <c r="CI92" i="150" s="1"/>
  <c r="CL92" i="150" s="1"/>
  <c r="CO92" i="150" s="1"/>
  <c r="CR92" i="150" s="1"/>
  <c r="CU92" i="150" s="1"/>
  <c r="CW91" i="150"/>
  <c r="CV91" i="150"/>
  <c r="I91" i="150"/>
  <c r="L91" i="150" s="1"/>
  <c r="O91" i="150" s="1"/>
  <c r="R91" i="150" s="1"/>
  <c r="U91" i="150" s="1"/>
  <c r="X91" i="150" s="1"/>
  <c r="AA91" i="150" s="1"/>
  <c r="AD91" i="150" s="1"/>
  <c r="AG91" i="150" s="1"/>
  <c r="AJ91" i="150" s="1"/>
  <c r="AM91" i="150" s="1"/>
  <c r="AP91" i="150" s="1"/>
  <c r="AS91" i="150" s="1"/>
  <c r="AV91" i="150" s="1"/>
  <c r="AY91" i="150" s="1"/>
  <c r="BB91" i="150" s="1"/>
  <c r="BE91" i="150" s="1"/>
  <c r="BH91" i="150" s="1"/>
  <c r="BK91" i="150" s="1"/>
  <c r="BN91" i="150" s="1"/>
  <c r="BQ91" i="150" s="1"/>
  <c r="BT91" i="150" s="1"/>
  <c r="BW91" i="150" s="1"/>
  <c r="BZ91" i="150" s="1"/>
  <c r="CC91" i="150" s="1"/>
  <c r="CF91" i="150" s="1"/>
  <c r="CI91" i="150" s="1"/>
  <c r="CL91" i="150" s="1"/>
  <c r="CO91" i="150" s="1"/>
  <c r="CR91" i="150" s="1"/>
  <c r="CU91" i="150" s="1"/>
  <c r="CW90" i="150"/>
  <c r="CV90" i="150"/>
  <c r="I90" i="150"/>
  <c r="L90" i="150" s="1"/>
  <c r="O90" i="150" s="1"/>
  <c r="R90" i="150" s="1"/>
  <c r="U90" i="150" s="1"/>
  <c r="X90" i="150" s="1"/>
  <c r="AA90" i="150" s="1"/>
  <c r="AD90" i="150" s="1"/>
  <c r="AG90" i="150" s="1"/>
  <c r="AJ90" i="150" s="1"/>
  <c r="AM90" i="150" s="1"/>
  <c r="AP90" i="150" s="1"/>
  <c r="AS90" i="150" s="1"/>
  <c r="AV90" i="150" s="1"/>
  <c r="AY90" i="150" s="1"/>
  <c r="BB90" i="150" s="1"/>
  <c r="BE90" i="150" s="1"/>
  <c r="BH90" i="150" s="1"/>
  <c r="BK90" i="150" s="1"/>
  <c r="BN90" i="150" s="1"/>
  <c r="BQ90" i="150" s="1"/>
  <c r="BT90" i="150" s="1"/>
  <c r="BW90" i="150" s="1"/>
  <c r="BZ90" i="150" s="1"/>
  <c r="CC90" i="150" s="1"/>
  <c r="CF90" i="150" s="1"/>
  <c r="CI90" i="150" s="1"/>
  <c r="CL90" i="150" s="1"/>
  <c r="CO90" i="150" s="1"/>
  <c r="CR90" i="150" s="1"/>
  <c r="CU90" i="150" s="1"/>
  <c r="CW89" i="150"/>
  <c r="CV89" i="150"/>
  <c r="I89" i="150"/>
  <c r="L89" i="150" s="1"/>
  <c r="O89" i="150" s="1"/>
  <c r="R89" i="150" s="1"/>
  <c r="U89" i="150" s="1"/>
  <c r="X89" i="150" s="1"/>
  <c r="AA89" i="150" s="1"/>
  <c r="AD89" i="150" s="1"/>
  <c r="AG89" i="150" s="1"/>
  <c r="AJ89" i="150" s="1"/>
  <c r="AM89" i="150" s="1"/>
  <c r="AP89" i="150" s="1"/>
  <c r="AS89" i="150" s="1"/>
  <c r="AV89" i="150" s="1"/>
  <c r="AY89" i="150" s="1"/>
  <c r="BB89" i="150" s="1"/>
  <c r="BE89" i="150" s="1"/>
  <c r="BH89" i="150" s="1"/>
  <c r="BK89" i="150" s="1"/>
  <c r="BN89" i="150" s="1"/>
  <c r="BQ89" i="150" s="1"/>
  <c r="BT89" i="150" s="1"/>
  <c r="BW89" i="150" s="1"/>
  <c r="BZ89" i="150" s="1"/>
  <c r="CC89" i="150" s="1"/>
  <c r="CF89" i="150" s="1"/>
  <c r="CI89" i="150" s="1"/>
  <c r="CL89" i="150" s="1"/>
  <c r="CO89" i="150" s="1"/>
  <c r="CR89" i="150" s="1"/>
  <c r="CU89" i="150" s="1"/>
  <c r="CW88" i="150"/>
  <c r="CV88" i="150"/>
  <c r="I88" i="150"/>
  <c r="L88" i="150" s="1"/>
  <c r="O88" i="150" s="1"/>
  <c r="R88" i="150" s="1"/>
  <c r="U88" i="150" s="1"/>
  <c r="X88" i="150" s="1"/>
  <c r="AA88" i="150" s="1"/>
  <c r="AD88" i="150" s="1"/>
  <c r="AG88" i="150" s="1"/>
  <c r="AJ88" i="150" s="1"/>
  <c r="AM88" i="150" s="1"/>
  <c r="AP88" i="150" s="1"/>
  <c r="AS88" i="150" s="1"/>
  <c r="AV88" i="150" s="1"/>
  <c r="AY88" i="150" s="1"/>
  <c r="BB88" i="150" s="1"/>
  <c r="BE88" i="150" s="1"/>
  <c r="BH88" i="150" s="1"/>
  <c r="BK88" i="150" s="1"/>
  <c r="BN88" i="150" s="1"/>
  <c r="BQ88" i="150" s="1"/>
  <c r="BT88" i="150" s="1"/>
  <c r="BW88" i="150" s="1"/>
  <c r="BZ88" i="150" s="1"/>
  <c r="CC88" i="150" s="1"/>
  <c r="CF88" i="150" s="1"/>
  <c r="CI88" i="150" s="1"/>
  <c r="CL88" i="150" s="1"/>
  <c r="CO88" i="150" s="1"/>
  <c r="CR88" i="150" s="1"/>
  <c r="CU88" i="150" s="1"/>
  <c r="CW87" i="150"/>
  <c r="CV87" i="150"/>
  <c r="I87" i="150"/>
  <c r="L87" i="150" s="1"/>
  <c r="O87" i="150" s="1"/>
  <c r="R87" i="150" s="1"/>
  <c r="U87" i="150" s="1"/>
  <c r="X87" i="150" s="1"/>
  <c r="AA87" i="150" s="1"/>
  <c r="AD87" i="150" s="1"/>
  <c r="AG87" i="150" s="1"/>
  <c r="AJ87" i="150" s="1"/>
  <c r="AM87" i="150" s="1"/>
  <c r="AP87" i="150" s="1"/>
  <c r="AS87" i="150" s="1"/>
  <c r="AV87" i="150" s="1"/>
  <c r="AY87" i="150" s="1"/>
  <c r="BB87" i="150" s="1"/>
  <c r="BE87" i="150" s="1"/>
  <c r="BH87" i="150" s="1"/>
  <c r="BK87" i="150" s="1"/>
  <c r="BN87" i="150" s="1"/>
  <c r="BQ87" i="150" s="1"/>
  <c r="BT87" i="150" s="1"/>
  <c r="BW87" i="150" s="1"/>
  <c r="BZ87" i="150" s="1"/>
  <c r="CC87" i="150" s="1"/>
  <c r="CF87" i="150" s="1"/>
  <c r="CI87" i="150" s="1"/>
  <c r="CL87" i="150" s="1"/>
  <c r="CO87" i="150" s="1"/>
  <c r="CR87" i="150" s="1"/>
  <c r="CU87" i="150" s="1"/>
  <c r="CW86" i="150"/>
  <c r="CV86" i="150"/>
  <c r="I86" i="150"/>
  <c r="L86" i="150" s="1"/>
  <c r="O86" i="150" s="1"/>
  <c r="R86" i="150" s="1"/>
  <c r="U86" i="150" s="1"/>
  <c r="X86" i="150" s="1"/>
  <c r="AA86" i="150" s="1"/>
  <c r="AD86" i="150" s="1"/>
  <c r="AG86" i="150" s="1"/>
  <c r="AJ86" i="150" s="1"/>
  <c r="AM86" i="150" s="1"/>
  <c r="AP86" i="150" s="1"/>
  <c r="AS86" i="150" s="1"/>
  <c r="AV86" i="150" s="1"/>
  <c r="AY86" i="150" s="1"/>
  <c r="BB86" i="150" s="1"/>
  <c r="BE86" i="150" s="1"/>
  <c r="BH86" i="150" s="1"/>
  <c r="BK86" i="150" s="1"/>
  <c r="BN86" i="150" s="1"/>
  <c r="BQ86" i="150" s="1"/>
  <c r="BT86" i="150" s="1"/>
  <c r="BW86" i="150" s="1"/>
  <c r="BZ86" i="150" s="1"/>
  <c r="CC86" i="150" s="1"/>
  <c r="CF86" i="150" s="1"/>
  <c r="CI86" i="150" s="1"/>
  <c r="CL86" i="150" s="1"/>
  <c r="CO86" i="150" s="1"/>
  <c r="CR86" i="150" s="1"/>
  <c r="CU86" i="150" s="1"/>
  <c r="CX86" i="150" s="1"/>
  <c r="CZ86" i="150" s="1"/>
  <c r="CW85" i="150"/>
  <c r="CV85" i="150"/>
  <c r="I85" i="150"/>
  <c r="L85" i="150" s="1"/>
  <c r="O85" i="150" s="1"/>
  <c r="R85" i="150" s="1"/>
  <c r="U85" i="150" s="1"/>
  <c r="X85" i="150" s="1"/>
  <c r="AA85" i="150" s="1"/>
  <c r="AD85" i="150" s="1"/>
  <c r="AG85" i="150" s="1"/>
  <c r="AJ85" i="150" s="1"/>
  <c r="AM85" i="150" s="1"/>
  <c r="AP85" i="150" s="1"/>
  <c r="AS85" i="150" s="1"/>
  <c r="AV85" i="150" s="1"/>
  <c r="AY85" i="150" s="1"/>
  <c r="BB85" i="150" s="1"/>
  <c r="BE85" i="150" s="1"/>
  <c r="BH85" i="150" s="1"/>
  <c r="BK85" i="150" s="1"/>
  <c r="BN85" i="150" s="1"/>
  <c r="BQ85" i="150" s="1"/>
  <c r="BT85" i="150" s="1"/>
  <c r="BW85" i="150" s="1"/>
  <c r="BZ85" i="150" s="1"/>
  <c r="CC85" i="150" s="1"/>
  <c r="CF85" i="150" s="1"/>
  <c r="CI85" i="150" s="1"/>
  <c r="CL85" i="150" s="1"/>
  <c r="CO85" i="150" s="1"/>
  <c r="CR85" i="150" s="1"/>
  <c r="CU85" i="150" s="1"/>
  <c r="CW84" i="150"/>
  <c r="CV84" i="150"/>
  <c r="I84" i="150"/>
  <c r="L84" i="150" s="1"/>
  <c r="O84" i="150" s="1"/>
  <c r="R84" i="150" s="1"/>
  <c r="U84" i="150" s="1"/>
  <c r="X84" i="150" s="1"/>
  <c r="AA84" i="150" s="1"/>
  <c r="AD84" i="150" s="1"/>
  <c r="AG84" i="150" s="1"/>
  <c r="AJ84" i="150" s="1"/>
  <c r="AM84" i="150" s="1"/>
  <c r="AP84" i="150" s="1"/>
  <c r="AS84" i="150" s="1"/>
  <c r="AV84" i="150" s="1"/>
  <c r="AY84" i="150" s="1"/>
  <c r="BB84" i="150" s="1"/>
  <c r="BE84" i="150" s="1"/>
  <c r="BH84" i="150" s="1"/>
  <c r="BK84" i="150" s="1"/>
  <c r="BN84" i="150" s="1"/>
  <c r="BQ84" i="150" s="1"/>
  <c r="BT84" i="150" s="1"/>
  <c r="BW84" i="150" s="1"/>
  <c r="BZ84" i="150" s="1"/>
  <c r="CC84" i="150" s="1"/>
  <c r="CF84" i="150" s="1"/>
  <c r="CI84" i="150" s="1"/>
  <c r="CL84" i="150" s="1"/>
  <c r="CO84" i="150" s="1"/>
  <c r="CR84" i="150" s="1"/>
  <c r="CU84" i="150" s="1"/>
  <c r="CV83" i="150"/>
  <c r="I83" i="150"/>
  <c r="L83" i="150" s="1"/>
  <c r="O83" i="150" s="1"/>
  <c r="R83" i="150" s="1"/>
  <c r="U83" i="150" s="1"/>
  <c r="X83" i="150" s="1"/>
  <c r="AA83" i="150" s="1"/>
  <c r="AD83" i="150" s="1"/>
  <c r="AG83" i="150" s="1"/>
  <c r="AJ83" i="150" s="1"/>
  <c r="AM83" i="150" s="1"/>
  <c r="AP83" i="150" s="1"/>
  <c r="AS83" i="150" s="1"/>
  <c r="AV83" i="150" s="1"/>
  <c r="AY83" i="150" s="1"/>
  <c r="BB83" i="150" s="1"/>
  <c r="BE83" i="150" s="1"/>
  <c r="BH83" i="150" s="1"/>
  <c r="BK83" i="150" s="1"/>
  <c r="BN83" i="150" s="1"/>
  <c r="BQ83" i="150" s="1"/>
  <c r="BT83" i="150" s="1"/>
  <c r="BW83" i="150" s="1"/>
  <c r="BZ83" i="150" s="1"/>
  <c r="CC83" i="150" s="1"/>
  <c r="CF83" i="150" s="1"/>
  <c r="CI83" i="150" s="1"/>
  <c r="CL83" i="150" s="1"/>
  <c r="CO83" i="150" s="1"/>
  <c r="CR83" i="150" s="1"/>
  <c r="CU83" i="150" s="1"/>
  <c r="CV82" i="150"/>
  <c r="I82" i="150"/>
  <c r="L82" i="150" s="1"/>
  <c r="O82" i="150" s="1"/>
  <c r="R82" i="150" s="1"/>
  <c r="U82" i="150" s="1"/>
  <c r="X82" i="150" s="1"/>
  <c r="AA82" i="150" s="1"/>
  <c r="AD82" i="150" s="1"/>
  <c r="AG82" i="150" s="1"/>
  <c r="AJ82" i="150" s="1"/>
  <c r="AM82" i="150" s="1"/>
  <c r="AP82" i="150" s="1"/>
  <c r="AS82" i="150" s="1"/>
  <c r="AV82" i="150" s="1"/>
  <c r="AY82" i="150" s="1"/>
  <c r="BB82" i="150" s="1"/>
  <c r="BE82" i="150" s="1"/>
  <c r="BH82" i="150" s="1"/>
  <c r="BK82" i="150" s="1"/>
  <c r="BN82" i="150" s="1"/>
  <c r="BQ82" i="150" s="1"/>
  <c r="BT82" i="150" s="1"/>
  <c r="BW82" i="150" s="1"/>
  <c r="BZ82" i="150" s="1"/>
  <c r="CC82" i="150" s="1"/>
  <c r="CF82" i="150" s="1"/>
  <c r="CI82" i="150" s="1"/>
  <c r="CL82" i="150" s="1"/>
  <c r="CO82" i="150" s="1"/>
  <c r="CR82" i="150" s="1"/>
  <c r="CU82" i="150" s="1"/>
  <c r="CW81" i="150"/>
  <c r="CV81" i="150"/>
  <c r="I81" i="150"/>
  <c r="L81" i="150" s="1"/>
  <c r="O81" i="150" s="1"/>
  <c r="R81" i="150" s="1"/>
  <c r="U81" i="150" s="1"/>
  <c r="X81" i="150" s="1"/>
  <c r="AA81" i="150" s="1"/>
  <c r="AD81" i="150" s="1"/>
  <c r="AG81" i="150" s="1"/>
  <c r="AJ81" i="150" s="1"/>
  <c r="AM81" i="150" s="1"/>
  <c r="AP81" i="150" s="1"/>
  <c r="AS81" i="150" s="1"/>
  <c r="AV81" i="150" s="1"/>
  <c r="AY81" i="150" s="1"/>
  <c r="BB81" i="150" s="1"/>
  <c r="BE81" i="150" s="1"/>
  <c r="BH81" i="150" s="1"/>
  <c r="BK81" i="150" s="1"/>
  <c r="BN81" i="150" s="1"/>
  <c r="BQ81" i="150" s="1"/>
  <c r="BT81" i="150" s="1"/>
  <c r="BW81" i="150" s="1"/>
  <c r="BZ81" i="150" s="1"/>
  <c r="CC81" i="150" s="1"/>
  <c r="CF81" i="150" s="1"/>
  <c r="CI81" i="150" s="1"/>
  <c r="CL81" i="150" s="1"/>
  <c r="CO81" i="150" s="1"/>
  <c r="CR81" i="150" s="1"/>
  <c r="CU81" i="150" s="1"/>
  <c r="CW80" i="150"/>
  <c r="CV80" i="150"/>
  <c r="I80" i="150"/>
  <c r="L80" i="150" s="1"/>
  <c r="O80" i="150" s="1"/>
  <c r="R80" i="150" s="1"/>
  <c r="U80" i="150" s="1"/>
  <c r="X80" i="150" s="1"/>
  <c r="AA80" i="150" s="1"/>
  <c r="AD80" i="150" s="1"/>
  <c r="AG80" i="150" s="1"/>
  <c r="AJ80" i="150" s="1"/>
  <c r="AM80" i="150" s="1"/>
  <c r="AP80" i="150" s="1"/>
  <c r="AS80" i="150" s="1"/>
  <c r="AV80" i="150" s="1"/>
  <c r="AY80" i="150" s="1"/>
  <c r="BB80" i="150" s="1"/>
  <c r="BE80" i="150" s="1"/>
  <c r="BH80" i="150" s="1"/>
  <c r="BK80" i="150" s="1"/>
  <c r="BN80" i="150" s="1"/>
  <c r="BQ80" i="150" s="1"/>
  <c r="BT80" i="150" s="1"/>
  <c r="BW80" i="150" s="1"/>
  <c r="BZ80" i="150" s="1"/>
  <c r="CC80" i="150" s="1"/>
  <c r="CF80" i="150" s="1"/>
  <c r="CI80" i="150" s="1"/>
  <c r="CL80" i="150" s="1"/>
  <c r="CO80" i="150" s="1"/>
  <c r="CR80" i="150" s="1"/>
  <c r="CU80" i="150" s="1"/>
  <c r="CW79" i="150"/>
  <c r="CV79" i="150"/>
  <c r="I79" i="150"/>
  <c r="L79" i="150" s="1"/>
  <c r="O79" i="150" s="1"/>
  <c r="R79" i="150" s="1"/>
  <c r="U79" i="150" s="1"/>
  <c r="X79" i="150" s="1"/>
  <c r="AA79" i="150" s="1"/>
  <c r="AD79" i="150" s="1"/>
  <c r="AG79" i="150" s="1"/>
  <c r="AJ79" i="150" s="1"/>
  <c r="AM79" i="150" s="1"/>
  <c r="AP79" i="150" s="1"/>
  <c r="AS79" i="150" s="1"/>
  <c r="AV79" i="150" s="1"/>
  <c r="AY79" i="150" s="1"/>
  <c r="BB79" i="150" s="1"/>
  <c r="BE79" i="150" s="1"/>
  <c r="BH79" i="150" s="1"/>
  <c r="BK79" i="150" s="1"/>
  <c r="BN79" i="150" s="1"/>
  <c r="BQ79" i="150" s="1"/>
  <c r="BT79" i="150" s="1"/>
  <c r="BW79" i="150" s="1"/>
  <c r="BZ79" i="150" s="1"/>
  <c r="CC79" i="150" s="1"/>
  <c r="CF79" i="150" s="1"/>
  <c r="CI79" i="150" s="1"/>
  <c r="CL79" i="150" s="1"/>
  <c r="CO79" i="150" s="1"/>
  <c r="CR79" i="150" s="1"/>
  <c r="CU79" i="150" s="1"/>
  <c r="CZ78" i="150"/>
  <c r="CW78" i="150"/>
  <c r="CV78" i="150"/>
  <c r="I78" i="150"/>
  <c r="L78" i="150" s="1"/>
  <c r="O78" i="150" s="1"/>
  <c r="R78" i="150" s="1"/>
  <c r="U78" i="150" s="1"/>
  <c r="X78" i="150" s="1"/>
  <c r="AA78" i="150" s="1"/>
  <c r="AD78" i="150" s="1"/>
  <c r="AG78" i="150" s="1"/>
  <c r="AJ78" i="150" s="1"/>
  <c r="AM78" i="150" s="1"/>
  <c r="AP78" i="150" s="1"/>
  <c r="AS78" i="150" s="1"/>
  <c r="AV78" i="150" s="1"/>
  <c r="AY78" i="150" s="1"/>
  <c r="BB78" i="150" s="1"/>
  <c r="BE78" i="150" s="1"/>
  <c r="BH78" i="150" s="1"/>
  <c r="BK78" i="150" s="1"/>
  <c r="BN78" i="150" s="1"/>
  <c r="BQ78" i="150" s="1"/>
  <c r="BT78" i="150" s="1"/>
  <c r="BW78" i="150" s="1"/>
  <c r="BZ78" i="150" s="1"/>
  <c r="CC78" i="150" s="1"/>
  <c r="CF78" i="150" s="1"/>
  <c r="CI78" i="150" s="1"/>
  <c r="CL78" i="150" s="1"/>
  <c r="CO78" i="150" s="1"/>
  <c r="CR78" i="150" s="1"/>
  <c r="CU78" i="150" s="1"/>
  <c r="DB78" i="150" s="1"/>
  <c r="DE78" i="150" s="1"/>
  <c r="CV77" i="150"/>
  <c r="I76" i="150"/>
  <c r="L76" i="150" s="1"/>
  <c r="O76" i="150" s="1"/>
  <c r="R76" i="150" s="1"/>
  <c r="U76" i="150" s="1"/>
  <c r="X76" i="150" s="1"/>
  <c r="AA76" i="150" s="1"/>
  <c r="AD76" i="150" s="1"/>
  <c r="AG76" i="150" s="1"/>
  <c r="AJ76" i="150" s="1"/>
  <c r="AM76" i="150" s="1"/>
  <c r="AP76" i="150" s="1"/>
  <c r="AS76" i="150" s="1"/>
  <c r="AV76" i="150" s="1"/>
  <c r="AY76" i="150" s="1"/>
  <c r="BB76" i="150" s="1"/>
  <c r="BE76" i="150" s="1"/>
  <c r="BH76" i="150" s="1"/>
  <c r="BK76" i="150" s="1"/>
  <c r="BN76" i="150" s="1"/>
  <c r="CW75" i="150"/>
  <c r="CV75" i="150"/>
  <c r="I75" i="150"/>
  <c r="L75" i="150" s="1"/>
  <c r="O75" i="150" s="1"/>
  <c r="R75" i="150" s="1"/>
  <c r="U75" i="150" s="1"/>
  <c r="X75" i="150" s="1"/>
  <c r="AA75" i="150" s="1"/>
  <c r="AD75" i="150" s="1"/>
  <c r="AG75" i="150" s="1"/>
  <c r="AJ75" i="150" s="1"/>
  <c r="AM75" i="150" s="1"/>
  <c r="AP75" i="150" s="1"/>
  <c r="AS75" i="150" s="1"/>
  <c r="AV75" i="150" s="1"/>
  <c r="AY75" i="150" s="1"/>
  <c r="BB75" i="150" s="1"/>
  <c r="BE75" i="150" s="1"/>
  <c r="BH75" i="150" s="1"/>
  <c r="BK75" i="150" s="1"/>
  <c r="BN75" i="150" s="1"/>
  <c r="BQ75" i="150" s="1"/>
  <c r="BT75" i="150" s="1"/>
  <c r="BW75" i="150" s="1"/>
  <c r="BZ75" i="150" s="1"/>
  <c r="CC75" i="150" s="1"/>
  <c r="CF75" i="150" s="1"/>
  <c r="CI75" i="150" s="1"/>
  <c r="CL75" i="150" s="1"/>
  <c r="CO75" i="150" s="1"/>
  <c r="CR75" i="150" s="1"/>
  <c r="CU75" i="150" s="1"/>
  <c r="CW74" i="150"/>
  <c r="CV74" i="150"/>
  <c r="I74" i="150"/>
  <c r="L74" i="150" s="1"/>
  <c r="O74" i="150" s="1"/>
  <c r="R74" i="150" s="1"/>
  <c r="U74" i="150" s="1"/>
  <c r="X74" i="150" s="1"/>
  <c r="AA74" i="150" s="1"/>
  <c r="AD74" i="150" s="1"/>
  <c r="AG74" i="150" s="1"/>
  <c r="AJ74" i="150" s="1"/>
  <c r="AM74" i="150" s="1"/>
  <c r="AP74" i="150" s="1"/>
  <c r="AS74" i="150" s="1"/>
  <c r="AV74" i="150" s="1"/>
  <c r="AY74" i="150" s="1"/>
  <c r="BB74" i="150" s="1"/>
  <c r="BE74" i="150" s="1"/>
  <c r="BH74" i="150" s="1"/>
  <c r="BK74" i="150" s="1"/>
  <c r="BN74" i="150" s="1"/>
  <c r="BQ74" i="150" s="1"/>
  <c r="BT74" i="150" s="1"/>
  <c r="BW74" i="150" s="1"/>
  <c r="BZ74" i="150" s="1"/>
  <c r="CC74" i="150" s="1"/>
  <c r="CF74" i="150" s="1"/>
  <c r="CI74" i="150" s="1"/>
  <c r="CL74" i="150" s="1"/>
  <c r="CO74" i="150" s="1"/>
  <c r="CR74" i="150" s="1"/>
  <c r="CU74" i="150" s="1"/>
  <c r="CW73" i="150"/>
  <c r="CV73" i="150"/>
  <c r="I73" i="150"/>
  <c r="L73" i="150" s="1"/>
  <c r="O73" i="150" s="1"/>
  <c r="R73" i="150" s="1"/>
  <c r="U73" i="150" s="1"/>
  <c r="X73" i="150" s="1"/>
  <c r="AA73" i="150" s="1"/>
  <c r="AD73" i="150" s="1"/>
  <c r="AG73" i="150" s="1"/>
  <c r="AJ73" i="150" s="1"/>
  <c r="AM73" i="150" s="1"/>
  <c r="AP73" i="150" s="1"/>
  <c r="AS73" i="150" s="1"/>
  <c r="AV73" i="150" s="1"/>
  <c r="AY73" i="150" s="1"/>
  <c r="BB73" i="150" s="1"/>
  <c r="BE73" i="150" s="1"/>
  <c r="BH73" i="150" s="1"/>
  <c r="BK73" i="150" s="1"/>
  <c r="BN73" i="150" s="1"/>
  <c r="BQ73" i="150" s="1"/>
  <c r="BT73" i="150" s="1"/>
  <c r="BW73" i="150" s="1"/>
  <c r="BZ73" i="150" s="1"/>
  <c r="CC73" i="150" s="1"/>
  <c r="CF73" i="150" s="1"/>
  <c r="CI73" i="150" s="1"/>
  <c r="CL73" i="150" s="1"/>
  <c r="CO73" i="150" s="1"/>
  <c r="CR73" i="150" s="1"/>
  <c r="CU73" i="150" s="1"/>
  <c r="CW72" i="150"/>
  <c r="CV72" i="150"/>
  <c r="I72" i="150"/>
  <c r="L72" i="150" s="1"/>
  <c r="O72" i="150" s="1"/>
  <c r="R72" i="150" s="1"/>
  <c r="U72" i="150" s="1"/>
  <c r="X72" i="150" s="1"/>
  <c r="AA72" i="150" s="1"/>
  <c r="AD72" i="150" s="1"/>
  <c r="AG72" i="150" s="1"/>
  <c r="AJ72" i="150" s="1"/>
  <c r="AM72" i="150" s="1"/>
  <c r="AP72" i="150" s="1"/>
  <c r="AS72" i="150" s="1"/>
  <c r="AV72" i="150" s="1"/>
  <c r="AY72" i="150" s="1"/>
  <c r="BB72" i="150" s="1"/>
  <c r="BE72" i="150" s="1"/>
  <c r="BH72" i="150" s="1"/>
  <c r="BK72" i="150" s="1"/>
  <c r="BN72" i="150" s="1"/>
  <c r="BQ72" i="150" s="1"/>
  <c r="BT72" i="150" s="1"/>
  <c r="BW72" i="150" s="1"/>
  <c r="BZ72" i="150" s="1"/>
  <c r="CC72" i="150" s="1"/>
  <c r="CF72" i="150" s="1"/>
  <c r="CI72" i="150" s="1"/>
  <c r="CL72" i="150" s="1"/>
  <c r="CO72" i="150" s="1"/>
  <c r="CR72" i="150" s="1"/>
  <c r="CU72" i="150" s="1"/>
  <c r="CV71" i="150"/>
  <c r="CW71" i="150"/>
  <c r="I71" i="150"/>
  <c r="L71" i="150" s="1"/>
  <c r="O71" i="150" s="1"/>
  <c r="R71" i="150" s="1"/>
  <c r="U71" i="150" s="1"/>
  <c r="X71" i="150" s="1"/>
  <c r="AA71" i="150" s="1"/>
  <c r="AD71" i="150" s="1"/>
  <c r="AG71" i="150" s="1"/>
  <c r="AJ71" i="150" s="1"/>
  <c r="AM71" i="150" s="1"/>
  <c r="AP71" i="150" s="1"/>
  <c r="AS71" i="150" s="1"/>
  <c r="AV71" i="150" s="1"/>
  <c r="AY71" i="150" s="1"/>
  <c r="BB71" i="150" s="1"/>
  <c r="BE71" i="150" s="1"/>
  <c r="BH71" i="150" s="1"/>
  <c r="BK71" i="150" s="1"/>
  <c r="BN71" i="150" s="1"/>
  <c r="BQ71" i="150" s="1"/>
  <c r="BT71" i="150" s="1"/>
  <c r="BW71" i="150" s="1"/>
  <c r="BZ71" i="150" s="1"/>
  <c r="CC71" i="150" s="1"/>
  <c r="CF71" i="150" s="1"/>
  <c r="CI71" i="150" s="1"/>
  <c r="CL71" i="150" s="1"/>
  <c r="CO71" i="150" s="1"/>
  <c r="CR71" i="150" s="1"/>
  <c r="CU71" i="150" s="1"/>
  <c r="CW70" i="150"/>
  <c r="CV70" i="150"/>
  <c r="I70" i="150"/>
  <c r="L70" i="150" s="1"/>
  <c r="O70" i="150" s="1"/>
  <c r="R70" i="150" s="1"/>
  <c r="U70" i="150" s="1"/>
  <c r="X70" i="150" s="1"/>
  <c r="AA70" i="150" s="1"/>
  <c r="AD70" i="150" s="1"/>
  <c r="AG70" i="150" s="1"/>
  <c r="AJ70" i="150" s="1"/>
  <c r="AM70" i="150" s="1"/>
  <c r="AP70" i="150" s="1"/>
  <c r="AS70" i="150" s="1"/>
  <c r="AV70" i="150" s="1"/>
  <c r="AY70" i="150" s="1"/>
  <c r="BB70" i="150" s="1"/>
  <c r="BE70" i="150" s="1"/>
  <c r="BH70" i="150" s="1"/>
  <c r="BK70" i="150" s="1"/>
  <c r="BN70" i="150" s="1"/>
  <c r="BQ70" i="150" s="1"/>
  <c r="BT70" i="150" s="1"/>
  <c r="BW70" i="150" s="1"/>
  <c r="BZ70" i="150" s="1"/>
  <c r="CC70" i="150" s="1"/>
  <c r="CF70" i="150" s="1"/>
  <c r="CI70" i="150" s="1"/>
  <c r="CL70" i="150" s="1"/>
  <c r="CO70" i="150" s="1"/>
  <c r="CR70" i="150" s="1"/>
  <c r="CU70" i="150" s="1"/>
  <c r="CW69" i="150"/>
  <c r="CV69" i="150"/>
  <c r="I69" i="150"/>
  <c r="L69" i="150" s="1"/>
  <c r="O69" i="150" s="1"/>
  <c r="R69" i="150" s="1"/>
  <c r="U69" i="150" s="1"/>
  <c r="X69" i="150" s="1"/>
  <c r="AA69" i="150" s="1"/>
  <c r="AD69" i="150" s="1"/>
  <c r="AG69" i="150" s="1"/>
  <c r="AJ69" i="150" s="1"/>
  <c r="AM69" i="150" s="1"/>
  <c r="AP69" i="150" s="1"/>
  <c r="AS69" i="150" s="1"/>
  <c r="AV69" i="150" s="1"/>
  <c r="AY69" i="150" s="1"/>
  <c r="BB69" i="150" s="1"/>
  <c r="BE69" i="150" s="1"/>
  <c r="BH69" i="150" s="1"/>
  <c r="BK69" i="150" s="1"/>
  <c r="BN69" i="150" s="1"/>
  <c r="BQ69" i="150" s="1"/>
  <c r="BT69" i="150" s="1"/>
  <c r="BW69" i="150" s="1"/>
  <c r="BZ69" i="150" s="1"/>
  <c r="CC69" i="150" s="1"/>
  <c r="CF69" i="150" s="1"/>
  <c r="CI69" i="150" s="1"/>
  <c r="CL69" i="150" s="1"/>
  <c r="CO69" i="150" s="1"/>
  <c r="CR69" i="150" s="1"/>
  <c r="CU69" i="150" s="1"/>
  <c r="CW68" i="150"/>
  <c r="CV68" i="150"/>
  <c r="I68" i="150"/>
  <c r="L68" i="150" s="1"/>
  <c r="O68" i="150" s="1"/>
  <c r="R68" i="150" s="1"/>
  <c r="U68" i="150" s="1"/>
  <c r="X68" i="150" s="1"/>
  <c r="AA68" i="150" s="1"/>
  <c r="AD68" i="150" s="1"/>
  <c r="AG68" i="150" s="1"/>
  <c r="AJ68" i="150" s="1"/>
  <c r="AM68" i="150" s="1"/>
  <c r="AP68" i="150" s="1"/>
  <c r="AS68" i="150" s="1"/>
  <c r="AV68" i="150" s="1"/>
  <c r="AY68" i="150" s="1"/>
  <c r="BB68" i="150" s="1"/>
  <c r="BE68" i="150" s="1"/>
  <c r="BH68" i="150" s="1"/>
  <c r="BK68" i="150" s="1"/>
  <c r="BN68" i="150" s="1"/>
  <c r="BQ68" i="150" s="1"/>
  <c r="BT68" i="150" s="1"/>
  <c r="BW68" i="150" s="1"/>
  <c r="BZ68" i="150" s="1"/>
  <c r="CC68" i="150" s="1"/>
  <c r="CF68" i="150" s="1"/>
  <c r="CI68" i="150" s="1"/>
  <c r="CL68" i="150" s="1"/>
  <c r="CO68" i="150" s="1"/>
  <c r="CR68" i="150" s="1"/>
  <c r="CU68" i="150" s="1"/>
  <c r="CW67" i="150"/>
  <c r="CV67" i="150"/>
  <c r="I67" i="150"/>
  <c r="L67" i="150" s="1"/>
  <c r="O67" i="150" s="1"/>
  <c r="R67" i="150" s="1"/>
  <c r="U67" i="150" s="1"/>
  <c r="X67" i="150" s="1"/>
  <c r="AA67" i="150" s="1"/>
  <c r="AD67" i="150" s="1"/>
  <c r="AG67" i="150" s="1"/>
  <c r="AJ67" i="150" s="1"/>
  <c r="AM67" i="150" s="1"/>
  <c r="AP67" i="150" s="1"/>
  <c r="AS67" i="150" s="1"/>
  <c r="AV67" i="150" s="1"/>
  <c r="AY67" i="150" s="1"/>
  <c r="BB67" i="150" s="1"/>
  <c r="BE67" i="150" s="1"/>
  <c r="BH67" i="150" s="1"/>
  <c r="BK67" i="150" s="1"/>
  <c r="BN67" i="150" s="1"/>
  <c r="BQ67" i="150" s="1"/>
  <c r="BT67" i="150" s="1"/>
  <c r="BW67" i="150" s="1"/>
  <c r="BZ67" i="150" s="1"/>
  <c r="CC67" i="150" s="1"/>
  <c r="CF67" i="150" s="1"/>
  <c r="CI67" i="150" s="1"/>
  <c r="CL67" i="150" s="1"/>
  <c r="CO67" i="150" s="1"/>
  <c r="CR67" i="150" s="1"/>
  <c r="CU67" i="150" s="1"/>
  <c r="CW66" i="150"/>
  <c r="CV66" i="150"/>
  <c r="I66" i="150"/>
  <c r="L66" i="150" s="1"/>
  <c r="O66" i="150" s="1"/>
  <c r="R66" i="150" s="1"/>
  <c r="U66" i="150" s="1"/>
  <c r="X66" i="150" s="1"/>
  <c r="AA66" i="150" s="1"/>
  <c r="AD66" i="150" s="1"/>
  <c r="AG66" i="150" s="1"/>
  <c r="AJ66" i="150" s="1"/>
  <c r="AM66" i="150" s="1"/>
  <c r="AP66" i="150" s="1"/>
  <c r="AS66" i="150" s="1"/>
  <c r="AV66" i="150" s="1"/>
  <c r="AY66" i="150" s="1"/>
  <c r="BB66" i="150" s="1"/>
  <c r="BE66" i="150" s="1"/>
  <c r="BH66" i="150" s="1"/>
  <c r="BK66" i="150" s="1"/>
  <c r="BN66" i="150" s="1"/>
  <c r="BQ66" i="150" s="1"/>
  <c r="BT66" i="150" s="1"/>
  <c r="BW66" i="150" s="1"/>
  <c r="BZ66" i="150" s="1"/>
  <c r="CC66" i="150" s="1"/>
  <c r="CF66" i="150" s="1"/>
  <c r="CI66" i="150" s="1"/>
  <c r="CL66" i="150" s="1"/>
  <c r="CO66" i="150" s="1"/>
  <c r="CR66" i="150" s="1"/>
  <c r="CU66" i="150" s="1"/>
  <c r="I65" i="150"/>
  <c r="L65" i="150" s="1"/>
  <c r="CW64" i="150"/>
  <c r="CV64" i="150"/>
  <c r="I64" i="150"/>
  <c r="L64" i="150" s="1"/>
  <c r="O64" i="150" s="1"/>
  <c r="R64" i="150" s="1"/>
  <c r="U64" i="150" s="1"/>
  <c r="X64" i="150" s="1"/>
  <c r="AA64" i="150" s="1"/>
  <c r="AD64" i="150" s="1"/>
  <c r="AG64" i="150" s="1"/>
  <c r="AJ64" i="150" s="1"/>
  <c r="AM64" i="150" s="1"/>
  <c r="AP64" i="150" s="1"/>
  <c r="AS64" i="150" s="1"/>
  <c r="AV64" i="150" s="1"/>
  <c r="AY64" i="150" s="1"/>
  <c r="BB64" i="150" s="1"/>
  <c r="BE64" i="150" s="1"/>
  <c r="BH64" i="150" s="1"/>
  <c r="BK64" i="150" s="1"/>
  <c r="BN64" i="150" s="1"/>
  <c r="BQ64" i="150" s="1"/>
  <c r="BT64" i="150" s="1"/>
  <c r="BW64" i="150" s="1"/>
  <c r="BZ64" i="150" s="1"/>
  <c r="CC64" i="150" s="1"/>
  <c r="CF64" i="150" s="1"/>
  <c r="CI64" i="150" s="1"/>
  <c r="CL64" i="150" s="1"/>
  <c r="CO64" i="150" s="1"/>
  <c r="CR64" i="150" s="1"/>
  <c r="CU64" i="150" s="1"/>
  <c r="CV63" i="150"/>
  <c r="I63" i="150"/>
  <c r="L63" i="150" s="1"/>
  <c r="O63" i="150" s="1"/>
  <c r="R63" i="150" s="1"/>
  <c r="U63" i="150" s="1"/>
  <c r="X63" i="150" s="1"/>
  <c r="AA63" i="150" s="1"/>
  <c r="AD63" i="150" s="1"/>
  <c r="AG63" i="150" s="1"/>
  <c r="AJ63" i="150" s="1"/>
  <c r="AM63" i="150" s="1"/>
  <c r="AP63" i="150" s="1"/>
  <c r="AS63" i="150" s="1"/>
  <c r="AV63" i="150" s="1"/>
  <c r="AY63" i="150" s="1"/>
  <c r="BB63" i="150" s="1"/>
  <c r="BE63" i="150" s="1"/>
  <c r="BH63" i="150" s="1"/>
  <c r="BK63" i="150" s="1"/>
  <c r="BN63" i="150" s="1"/>
  <c r="BQ63" i="150" s="1"/>
  <c r="BT63" i="150" s="1"/>
  <c r="BW63" i="150" s="1"/>
  <c r="BZ63" i="150" s="1"/>
  <c r="CC63" i="150" s="1"/>
  <c r="CF63" i="150" s="1"/>
  <c r="CI63" i="150" s="1"/>
  <c r="CL63" i="150" s="1"/>
  <c r="CO63" i="150" s="1"/>
  <c r="CR63" i="150" s="1"/>
  <c r="CU63" i="150" s="1"/>
  <c r="CW62" i="150"/>
  <c r="CV62" i="150"/>
  <c r="I62" i="150"/>
  <c r="L62" i="150" s="1"/>
  <c r="O62" i="150" s="1"/>
  <c r="R62" i="150" s="1"/>
  <c r="U62" i="150" s="1"/>
  <c r="X62" i="150" s="1"/>
  <c r="AA62" i="150" s="1"/>
  <c r="AD62" i="150" s="1"/>
  <c r="AG62" i="150" s="1"/>
  <c r="AJ62" i="150" s="1"/>
  <c r="AM62" i="150" s="1"/>
  <c r="AP62" i="150" s="1"/>
  <c r="AS62" i="150" s="1"/>
  <c r="AV62" i="150" s="1"/>
  <c r="AY62" i="150" s="1"/>
  <c r="BB62" i="150" s="1"/>
  <c r="BE62" i="150" s="1"/>
  <c r="BH62" i="150" s="1"/>
  <c r="BK62" i="150" s="1"/>
  <c r="BN62" i="150" s="1"/>
  <c r="BQ62" i="150" s="1"/>
  <c r="BT62" i="150" s="1"/>
  <c r="BW62" i="150" s="1"/>
  <c r="BZ62" i="150" s="1"/>
  <c r="CC62" i="150" s="1"/>
  <c r="CF62" i="150" s="1"/>
  <c r="CI62" i="150" s="1"/>
  <c r="CL62" i="150" s="1"/>
  <c r="CO62" i="150" s="1"/>
  <c r="CR62" i="150" s="1"/>
  <c r="CU62" i="150" s="1"/>
  <c r="CW61" i="150"/>
  <c r="CV61" i="150"/>
  <c r="I61" i="150"/>
  <c r="L61" i="150" s="1"/>
  <c r="O61" i="150" s="1"/>
  <c r="R61" i="150" s="1"/>
  <c r="U61" i="150" s="1"/>
  <c r="X61" i="150" s="1"/>
  <c r="AA61" i="150" s="1"/>
  <c r="AD61" i="150" s="1"/>
  <c r="AG61" i="150" s="1"/>
  <c r="AJ61" i="150" s="1"/>
  <c r="AM61" i="150" s="1"/>
  <c r="AP61" i="150" s="1"/>
  <c r="AS61" i="150" s="1"/>
  <c r="AV61" i="150" s="1"/>
  <c r="AY61" i="150" s="1"/>
  <c r="BB61" i="150" s="1"/>
  <c r="BE61" i="150" s="1"/>
  <c r="BH61" i="150" s="1"/>
  <c r="BK61" i="150" s="1"/>
  <c r="BN61" i="150" s="1"/>
  <c r="BQ61" i="150" s="1"/>
  <c r="BT61" i="150" s="1"/>
  <c r="BW61" i="150" s="1"/>
  <c r="BZ61" i="150" s="1"/>
  <c r="CC61" i="150" s="1"/>
  <c r="CF61" i="150" s="1"/>
  <c r="CI61" i="150" s="1"/>
  <c r="CL61" i="150" s="1"/>
  <c r="CO61" i="150" s="1"/>
  <c r="CR61" i="150" s="1"/>
  <c r="CU61" i="150" s="1"/>
  <c r="I60" i="150"/>
  <c r="L60" i="150" s="1"/>
  <c r="CV58" i="150"/>
  <c r="I58" i="150"/>
  <c r="L58" i="150" s="1"/>
  <c r="O58" i="150" s="1"/>
  <c r="R58" i="150" s="1"/>
  <c r="U58" i="150" s="1"/>
  <c r="X58" i="150" s="1"/>
  <c r="AA58" i="150" s="1"/>
  <c r="AD58" i="150" s="1"/>
  <c r="AG58" i="150" s="1"/>
  <c r="AJ58" i="150" s="1"/>
  <c r="AM58" i="150" s="1"/>
  <c r="AP58" i="150" s="1"/>
  <c r="AS58" i="150" s="1"/>
  <c r="AV58" i="150" s="1"/>
  <c r="AY58" i="150" s="1"/>
  <c r="BB58" i="150" s="1"/>
  <c r="BE58" i="150" s="1"/>
  <c r="BH58" i="150" s="1"/>
  <c r="BK58" i="150" s="1"/>
  <c r="BN58" i="150" s="1"/>
  <c r="BQ58" i="150" s="1"/>
  <c r="BT58" i="150" s="1"/>
  <c r="BW58" i="150" s="1"/>
  <c r="BZ58" i="150" s="1"/>
  <c r="CC58" i="150" s="1"/>
  <c r="CF58" i="150" s="1"/>
  <c r="CI58" i="150" s="1"/>
  <c r="CL58" i="150" s="1"/>
  <c r="CO58" i="150" s="1"/>
  <c r="CR58" i="150" s="1"/>
  <c r="CU58" i="150" s="1"/>
  <c r="CW58" i="150"/>
  <c r="CW57" i="150"/>
  <c r="CV57" i="150"/>
  <c r="I57" i="150"/>
  <c r="L57" i="150" s="1"/>
  <c r="O57" i="150" s="1"/>
  <c r="R57" i="150" s="1"/>
  <c r="U57" i="150" s="1"/>
  <c r="X57" i="150" s="1"/>
  <c r="AA57" i="150" s="1"/>
  <c r="AD57" i="150" s="1"/>
  <c r="AG57" i="150" s="1"/>
  <c r="AJ57" i="150" s="1"/>
  <c r="AM57" i="150" s="1"/>
  <c r="AP57" i="150" s="1"/>
  <c r="AS57" i="150" s="1"/>
  <c r="AV57" i="150" s="1"/>
  <c r="AY57" i="150" s="1"/>
  <c r="BB57" i="150" s="1"/>
  <c r="BE57" i="150" s="1"/>
  <c r="BH57" i="150" s="1"/>
  <c r="BK57" i="150" s="1"/>
  <c r="BN57" i="150" s="1"/>
  <c r="BQ57" i="150" s="1"/>
  <c r="BT57" i="150" s="1"/>
  <c r="BW57" i="150" s="1"/>
  <c r="BZ57" i="150" s="1"/>
  <c r="CC57" i="150" s="1"/>
  <c r="CF57" i="150" s="1"/>
  <c r="CI57" i="150" s="1"/>
  <c r="CL57" i="150" s="1"/>
  <c r="CO57" i="150" s="1"/>
  <c r="CR57" i="150" s="1"/>
  <c r="CU57" i="150" s="1"/>
  <c r="CW56" i="150"/>
  <c r="CV56" i="150"/>
  <c r="I56" i="150"/>
  <c r="L56" i="150" s="1"/>
  <c r="O56" i="150" s="1"/>
  <c r="R56" i="150" s="1"/>
  <c r="U56" i="150" s="1"/>
  <c r="X56" i="150" s="1"/>
  <c r="AA56" i="150" s="1"/>
  <c r="AD56" i="150" s="1"/>
  <c r="AG56" i="150" s="1"/>
  <c r="AJ56" i="150" s="1"/>
  <c r="AM56" i="150" s="1"/>
  <c r="AP56" i="150" s="1"/>
  <c r="AS56" i="150" s="1"/>
  <c r="AV56" i="150" s="1"/>
  <c r="AY56" i="150" s="1"/>
  <c r="BB56" i="150" s="1"/>
  <c r="BE56" i="150" s="1"/>
  <c r="BH56" i="150" s="1"/>
  <c r="BK56" i="150" s="1"/>
  <c r="BN56" i="150" s="1"/>
  <c r="BQ56" i="150" s="1"/>
  <c r="BT56" i="150" s="1"/>
  <c r="BW56" i="150" s="1"/>
  <c r="BZ56" i="150" s="1"/>
  <c r="CC56" i="150" s="1"/>
  <c r="CF56" i="150" s="1"/>
  <c r="CI56" i="150" s="1"/>
  <c r="CL56" i="150" s="1"/>
  <c r="CO56" i="150" s="1"/>
  <c r="CR56" i="150" s="1"/>
  <c r="CU56" i="150" s="1"/>
  <c r="CW55" i="150"/>
  <c r="CV55" i="150"/>
  <c r="I55" i="150"/>
  <c r="L55" i="150" s="1"/>
  <c r="O55" i="150" s="1"/>
  <c r="R55" i="150" s="1"/>
  <c r="U55" i="150" s="1"/>
  <c r="X55" i="150" s="1"/>
  <c r="AA55" i="150" s="1"/>
  <c r="AD55" i="150" s="1"/>
  <c r="AG55" i="150" s="1"/>
  <c r="AJ55" i="150" s="1"/>
  <c r="AM55" i="150" s="1"/>
  <c r="AP55" i="150" s="1"/>
  <c r="AS55" i="150" s="1"/>
  <c r="AV55" i="150" s="1"/>
  <c r="AY55" i="150" s="1"/>
  <c r="BB55" i="150" s="1"/>
  <c r="BE55" i="150" s="1"/>
  <c r="BH55" i="150" s="1"/>
  <c r="BK55" i="150" s="1"/>
  <c r="BN55" i="150" s="1"/>
  <c r="BQ55" i="150" s="1"/>
  <c r="BT55" i="150" s="1"/>
  <c r="BW55" i="150" s="1"/>
  <c r="BZ55" i="150" s="1"/>
  <c r="CC55" i="150" s="1"/>
  <c r="CF55" i="150" s="1"/>
  <c r="CI55" i="150" s="1"/>
  <c r="CL55" i="150" s="1"/>
  <c r="CO55" i="150" s="1"/>
  <c r="CR55" i="150" s="1"/>
  <c r="CU55" i="150" s="1"/>
  <c r="CW54" i="150"/>
  <c r="CV54" i="150"/>
  <c r="I54" i="150"/>
  <c r="L54" i="150" s="1"/>
  <c r="O54" i="150" s="1"/>
  <c r="R54" i="150" s="1"/>
  <c r="U54" i="150" s="1"/>
  <c r="X54" i="150" s="1"/>
  <c r="AA54" i="150" s="1"/>
  <c r="AD54" i="150" s="1"/>
  <c r="AG54" i="150" s="1"/>
  <c r="AJ54" i="150" s="1"/>
  <c r="AM54" i="150" s="1"/>
  <c r="AP54" i="150" s="1"/>
  <c r="AS54" i="150" s="1"/>
  <c r="AV54" i="150" s="1"/>
  <c r="AY54" i="150" s="1"/>
  <c r="BB54" i="150" s="1"/>
  <c r="BE54" i="150" s="1"/>
  <c r="BH54" i="150" s="1"/>
  <c r="BK54" i="150" s="1"/>
  <c r="BN54" i="150" s="1"/>
  <c r="BQ54" i="150" s="1"/>
  <c r="BT54" i="150" s="1"/>
  <c r="BW54" i="150" s="1"/>
  <c r="BZ54" i="150" s="1"/>
  <c r="CC54" i="150" s="1"/>
  <c r="CF54" i="150" s="1"/>
  <c r="CI54" i="150" s="1"/>
  <c r="CL54" i="150" s="1"/>
  <c r="CO54" i="150" s="1"/>
  <c r="CR54" i="150" s="1"/>
  <c r="CU54" i="150" s="1"/>
  <c r="CW53" i="150"/>
  <c r="I53" i="150"/>
  <c r="L53" i="150" s="1"/>
  <c r="O53" i="150" s="1"/>
  <c r="R53" i="150" s="1"/>
  <c r="U53" i="150" s="1"/>
  <c r="X53" i="150" s="1"/>
  <c r="AA53" i="150" s="1"/>
  <c r="AD53" i="150" s="1"/>
  <c r="AG53" i="150" s="1"/>
  <c r="AJ53" i="150" s="1"/>
  <c r="AM53" i="150" s="1"/>
  <c r="AP53" i="150" s="1"/>
  <c r="AS53" i="150" s="1"/>
  <c r="AV53" i="150" s="1"/>
  <c r="AY53" i="150" s="1"/>
  <c r="BB53" i="150" s="1"/>
  <c r="BE53" i="150" s="1"/>
  <c r="BH53" i="150" s="1"/>
  <c r="BK53" i="150" s="1"/>
  <c r="BN53" i="150" s="1"/>
  <c r="BQ53" i="150" s="1"/>
  <c r="BT53" i="150" s="1"/>
  <c r="BW53" i="150" s="1"/>
  <c r="BZ53" i="150" s="1"/>
  <c r="CC53" i="150" s="1"/>
  <c r="CF53" i="150" s="1"/>
  <c r="CI53" i="150" s="1"/>
  <c r="CL53" i="150" s="1"/>
  <c r="CO53" i="150" s="1"/>
  <c r="CR53" i="150" s="1"/>
  <c r="CU53" i="150" s="1"/>
  <c r="CW52" i="150"/>
  <c r="CV52" i="150"/>
  <c r="I52" i="150"/>
  <c r="L52" i="150" s="1"/>
  <c r="O52" i="150" s="1"/>
  <c r="R52" i="150" s="1"/>
  <c r="U52" i="150" s="1"/>
  <c r="X52" i="150" s="1"/>
  <c r="AA52" i="150" s="1"/>
  <c r="AD52" i="150" s="1"/>
  <c r="AG52" i="150" s="1"/>
  <c r="AJ52" i="150" s="1"/>
  <c r="AM52" i="150" s="1"/>
  <c r="AP52" i="150" s="1"/>
  <c r="AS52" i="150" s="1"/>
  <c r="AV52" i="150" s="1"/>
  <c r="AY52" i="150" s="1"/>
  <c r="BB52" i="150" s="1"/>
  <c r="BE52" i="150" s="1"/>
  <c r="BH52" i="150" s="1"/>
  <c r="BK52" i="150" s="1"/>
  <c r="BN52" i="150" s="1"/>
  <c r="BQ52" i="150" s="1"/>
  <c r="BT52" i="150" s="1"/>
  <c r="BW52" i="150" s="1"/>
  <c r="BZ52" i="150" s="1"/>
  <c r="CC52" i="150" s="1"/>
  <c r="CF52" i="150" s="1"/>
  <c r="CI52" i="150" s="1"/>
  <c r="CL52" i="150" s="1"/>
  <c r="CO52" i="150" s="1"/>
  <c r="CR52" i="150" s="1"/>
  <c r="CU52" i="150" s="1"/>
  <c r="CW51" i="150"/>
  <c r="CV51" i="150"/>
  <c r="I51" i="150"/>
  <c r="L51" i="150" s="1"/>
  <c r="O51" i="150" s="1"/>
  <c r="R51" i="150" s="1"/>
  <c r="U51" i="150" s="1"/>
  <c r="X51" i="150" s="1"/>
  <c r="AA51" i="150" s="1"/>
  <c r="AD51" i="150" s="1"/>
  <c r="AG51" i="150" s="1"/>
  <c r="AJ51" i="150" s="1"/>
  <c r="AM51" i="150" s="1"/>
  <c r="AP51" i="150" s="1"/>
  <c r="AS51" i="150" s="1"/>
  <c r="AV51" i="150" s="1"/>
  <c r="AY51" i="150" s="1"/>
  <c r="BB51" i="150" s="1"/>
  <c r="BE51" i="150" s="1"/>
  <c r="BH51" i="150" s="1"/>
  <c r="BK51" i="150" s="1"/>
  <c r="BN51" i="150" s="1"/>
  <c r="BQ51" i="150" s="1"/>
  <c r="BT51" i="150" s="1"/>
  <c r="BW51" i="150" s="1"/>
  <c r="BZ51" i="150" s="1"/>
  <c r="CC51" i="150" s="1"/>
  <c r="CF51" i="150" s="1"/>
  <c r="CI51" i="150" s="1"/>
  <c r="CL51" i="150" s="1"/>
  <c r="CO51" i="150" s="1"/>
  <c r="CR51" i="150" s="1"/>
  <c r="CU51" i="150" s="1"/>
  <c r="CW50" i="150"/>
  <c r="CW49" i="150"/>
  <c r="I49" i="150"/>
  <c r="L49" i="150" s="1"/>
  <c r="O49" i="150" s="1"/>
  <c r="R49" i="150" s="1"/>
  <c r="U49" i="150" s="1"/>
  <c r="X49" i="150" s="1"/>
  <c r="AA49" i="150" s="1"/>
  <c r="AD49" i="150" s="1"/>
  <c r="AG49" i="150" s="1"/>
  <c r="AJ49" i="150" s="1"/>
  <c r="AM49" i="150" s="1"/>
  <c r="AP49" i="150" s="1"/>
  <c r="AS49" i="150" s="1"/>
  <c r="AV49" i="150" s="1"/>
  <c r="AY49" i="150" s="1"/>
  <c r="BB49" i="150" s="1"/>
  <c r="BE49" i="150" s="1"/>
  <c r="BH49" i="150" s="1"/>
  <c r="BK49" i="150" s="1"/>
  <c r="BN49" i="150" s="1"/>
  <c r="BQ49" i="150" s="1"/>
  <c r="BT49" i="150" s="1"/>
  <c r="BW49" i="150" s="1"/>
  <c r="BZ49" i="150" s="1"/>
  <c r="CC49" i="150" s="1"/>
  <c r="CF49" i="150" s="1"/>
  <c r="CI49" i="150" s="1"/>
  <c r="CL49" i="150" s="1"/>
  <c r="CO49" i="150" s="1"/>
  <c r="CR49" i="150" s="1"/>
  <c r="CU49" i="150" s="1"/>
  <c r="CV48" i="150"/>
  <c r="CW48" i="150"/>
  <c r="CV47" i="150"/>
  <c r="I47" i="150"/>
  <c r="L47" i="150" s="1"/>
  <c r="O47" i="150" s="1"/>
  <c r="R47" i="150" s="1"/>
  <c r="U47" i="150" s="1"/>
  <c r="X47" i="150" s="1"/>
  <c r="AA47" i="150" s="1"/>
  <c r="AD47" i="150" s="1"/>
  <c r="AG47" i="150" s="1"/>
  <c r="AJ47" i="150" s="1"/>
  <c r="AM47" i="150" s="1"/>
  <c r="AP47" i="150" s="1"/>
  <c r="AS47" i="150" s="1"/>
  <c r="AV47" i="150" s="1"/>
  <c r="AY47" i="150" s="1"/>
  <c r="BB47" i="150" s="1"/>
  <c r="BE47" i="150" s="1"/>
  <c r="BH47" i="150" s="1"/>
  <c r="BK47" i="150" s="1"/>
  <c r="BN47" i="150" s="1"/>
  <c r="BQ47" i="150" s="1"/>
  <c r="BT47" i="150" s="1"/>
  <c r="BW47" i="150" s="1"/>
  <c r="BZ47" i="150" s="1"/>
  <c r="CC47" i="150" s="1"/>
  <c r="CF47" i="150" s="1"/>
  <c r="CI47" i="150" s="1"/>
  <c r="CL47" i="150" s="1"/>
  <c r="CO47" i="150" s="1"/>
  <c r="CR47" i="150" s="1"/>
  <c r="CU47" i="150" s="1"/>
  <c r="CW46" i="150"/>
  <c r="CV46" i="150"/>
  <c r="I46" i="150"/>
  <c r="L46" i="150" s="1"/>
  <c r="O46" i="150" s="1"/>
  <c r="R46" i="150" s="1"/>
  <c r="U46" i="150" s="1"/>
  <c r="X46" i="150" s="1"/>
  <c r="AA46" i="150" s="1"/>
  <c r="AD46" i="150" s="1"/>
  <c r="AG46" i="150" s="1"/>
  <c r="AJ46" i="150" s="1"/>
  <c r="AM46" i="150" s="1"/>
  <c r="AP46" i="150" s="1"/>
  <c r="AS46" i="150" s="1"/>
  <c r="AV46" i="150" s="1"/>
  <c r="AY46" i="150" s="1"/>
  <c r="BB46" i="150" s="1"/>
  <c r="BE46" i="150" s="1"/>
  <c r="BH46" i="150" s="1"/>
  <c r="BK46" i="150" s="1"/>
  <c r="BN46" i="150" s="1"/>
  <c r="BQ46" i="150" s="1"/>
  <c r="BT46" i="150" s="1"/>
  <c r="BW46" i="150" s="1"/>
  <c r="BZ46" i="150" s="1"/>
  <c r="CC46" i="150" s="1"/>
  <c r="CF46" i="150" s="1"/>
  <c r="CI46" i="150" s="1"/>
  <c r="CL46" i="150" s="1"/>
  <c r="CO46" i="150" s="1"/>
  <c r="CR46" i="150" s="1"/>
  <c r="CU46" i="150" s="1"/>
  <c r="CW45" i="150"/>
  <c r="CV45" i="150"/>
  <c r="I45" i="150"/>
  <c r="L45" i="150" s="1"/>
  <c r="O45" i="150" s="1"/>
  <c r="R45" i="150" s="1"/>
  <c r="U45" i="150" s="1"/>
  <c r="X45" i="150" s="1"/>
  <c r="AA45" i="150" s="1"/>
  <c r="AD45" i="150" s="1"/>
  <c r="AG45" i="150" s="1"/>
  <c r="AJ45" i="150" s="1"/>
  <c r="AM45" i="150" s="1"/>
  <c r="AP45" i="150" s="1"/>
  <c r="AS45" i="150" s="1"/>
  <c r="AV45" i="150" s="1"/>
  <c r="AY45" i="150" s="1"/>
  <c r="BB45" i="150" s="1"/>
  <c r="BE45" i="150" s="1"/>
  <c r="BH45" i="150" s="1"/>
  <c r="BK45" i="150" s="1"/>
  <c r="BN45" i="150" s="1"/>
  <c r="BQ45" i="150" s="1"/>
  <c r="BT45" i="150" s="1"/>
  <c r="BW45" i="150" s="1"/>
  <c r="BZ45" i="150" s="1"/>
  <c r="CC45" i="150" s="1"/>
  <c r="CF45" i="150" s="1"/>
  <c r="CI45" i="150" s="1"/>
  <c r="CL45" i="150" s="1"/>
  <c r="CO45" i="150" s="1"/>
  <c r="CR45" i="150" s="1"/>
  <c r="CU45" i="150" s="1"/>
  <c r="CW44" i="150"/>
  <c r="CV44" i="150"/>
  <c r="I44" i="150"/>
  <c r="L44" i="150" s="1"/>
  <c r="O44" i="150" s="1"/>
  <c r="R44" i="150" s="1"/>
  <c r="U44" i="150" s="1"/>
  <c r="X44" i="150" s="1"/>
  <c r="AA44" i="150" s="1"/>
  <c r="AD44" i="150" s="1"/>
  <c r="AG44" i="150" s="1"/>
  <c r="AJ44" i="150" s="1"/>
  <c r="AM44" i="150" s="1"/>
  <c r="AP44" i="150" s="1"/>
  <c r="AS44" i="150" s="1"/>
  <c r="AV44" i="150" s="1"/>
  <c r="AY44" i="150" s="1"/>
  <c r="BB44" i="150" s="1"/>
  <c r="BE44" i="150" s="1"/>
  <c r="BH44" i="150" s="1"/>
  <c r="BK44" i="150" s="1"/>
  <c r="BN44" i="150" s="1"/>
  <c r="BQ44" i="150" s="1"/>
  <c r="BT44" i="150" s="1"/>
  <c r="BW44" i="150" s="1"/>
  <c r="BZ44" i="150" s="1"/>
  <c r="CC44" i="150" s="1"/>
  <c r="CF44" i="150" s="1"/>
  <c r="CI44" i="150" s="1"/>
  <c r="CL44" i="150" s="1"/>
  <c r="CO44" i="150" s="1"/>
  <c r="CR44" i="150" s="1"/>
  <c r="CU44" i="150" s="1"/>
  <c r="CW43" i="150"/>
  <c r="CV43" i="150"/>
  <c r="I43" i="150"/>
  <c r="L43" i="150" s="1"/>
  <c r="O43" i="150" s="1"/>
  <c r="R43" i="150" s="1"/>
  <c r="U43" i="150" s="1"/>
  <c r="X43" i="150" s="1"/>
  <c r="AA43" i="150" s="1"/>
  <c r="AD43" i="150" s="1"/>
  <c r="AG43" i="150" s="1"/>
  <c r="AJ43" i="150" s="1"/>
  <c r="AM43" i="150" s="1"/>
  <c r="AP43" i="150" s="1"/>
  <c r="AS43" i="150" s="1"/>
  <c r="AV43" i="150" s="1"/>
  <c r="AY43" i="150" s="1"/>
  <c r="BB43" i="150" s="1"/>
  <c r="BE43" i="150" s="1"/>
  <c r="BH43" i="150" s="1"/>
  <c r="BK43" i="150" s="1"/>
  <c r="BN43" i="150" s="1"/>
  <c r="BQ43" i="150" s="1"/>
  <c r="BT43" i="150" s="1"/>
  <c r="BW43" i="150" s="1"/>
  <c r="BZ43" i="150" s="1"/>
  <c r="CC43" i="150" s="1"/>
  <c r="CF43" i="150" s="1"/>
  <c r="CI43" i="150" s="1"/>
  <c r="CL43" i="150" s="1"/>
  <c r="CO43" i="150" s="1"/>
  <c r="CR43" i="150" s="1"/>
  <c r="CU43" i="150" s="1"/>
  <c r="CW42" i="150"/>
  <c r="CV42" i="150"/>
  <c r="I42" i="150"/>
  <c r="L42" i="150" s="1"/>
  <c r="O42" i="150" s="1"/>
  <c r="R42" i="150" s="1"/>
  <c r="U42" i="150" s="1"/>
  <c r="X42" i="150" s="1"/>
  <c r="AA42" i="150" s="1"/>
  <c r="AD42" i="150" s="1"/>
  <c r="AG42" i="150" s="1"/>
  <c r="AJ42" i="150" s="1"/>
  <c r="AM42" i="150" s="1"/>
  <c r="AP42" i="150" s="1"/>
  <c r="AS42" i="150" s="1"/>
  <c r="AV42" i="150" s="1"/>
  <c r="AY42" i="150" s="1"/>
  <c r="BB42" i="150" s="1"/>
  <c r="BE42" i="150" s="1"/>
  <c r="BH42" i="150" s="1"/>
  <c r="BK42" i="150" s="1"/>
  <c r="BN42" i="150" s="1"/>
  <c r="BQ42" i="150" s="1"/>
  <c r="BT42" i="150" s="1"/>
  <c r="BW42" i="150" s="1"/>
  <c r="BZ42" i="150" s="1"/>
  <c r="CC42" i="150" s="1"/>
  <c r="CF42" i="150" s="1"/>
  <c r="CI42" i="150" s="1"/>
  <c r="CL42" i="150" s="1"/>
  <c r="CO42" i="150" s="1"/>
  <c r="CR42" i="150" s="1"/>
  <c r="CU42" i="150" s="1"/>
  <c r="CW41" i="150"/>
  <c r="CV41" i="150"/>
  <c r="I41" i="150"/>
  <c r="L41" i="150" s="1"/>
  <c r="O41" i="150" s="1"/>
  <c r="R41" i="150" s="1"/>
  <c r="U41" i="150" s="1"/>
  <c r="X41" i="150" s="1"/>
  <c r="AA41" i="150" s="1"/>
  <c r="AD41" i="150" s="1"/>
  <c r="AG41" i="150" s="1"/>
  <c r="AJ41" i="150" s="1"/>
  <c r="AM41" i="150" s="1"/>
  <c r="AP41" i="150" s="1"/>
  <c r="AS41" i="150" s="1"/>
  <c r="AV41" i="150" s="1"/>
  <c r="AY41" i="150" s="1"/>
  <c r="BB41" i="150" s="1"/>
  <c r="BE41" i="150" s="1"/>
  <c r="BH41" i="150" s="1"/>
  <c r="BK41" i="150" s="1"/>
  <c r="BN41" i="150" s="1"/>
  <c r="BQ41" i="150" s="1"/>
  <c r="BT41" i="150" s="1"/>
  <c r="BW41" i="150" s="1"/>
  <c r="BZ41" i="150" s="1"/>
  <c r="CC41" i="150" s="1"/>
  <c r="CF41" i="150" s="1"/>
  <c r="CI41" i="150" s="1"/>
  <c r="CL41" i="150" s="1"/>
  <c r="CO41" i="150" s="1"/>
  <c r="CR41" i="150" s="1"/>
  <c r="CU41" i="150" s="1"/>
  <c r="CV40" i="150"/>
  <c r="CW40" i="150"/>
  <c r="CW39" i="150"/>
  <c r="I39" i="150"/>
  <c r="L39" i="150" s="1"/>
  <c r="O39" i="150" s="1"/>
  <c r="R39" i="150" s="1"/>
  <c r="U39" i="150" s="1"/>
  <c r="X39" i="150" s="1"/>
  <c r="AA39" i="150" s="1"/>
  <c r="AD39" i="150" s="1"/>
  <c r="AG39" i="150" s="1"/>
  <c r="AJ39" i="150" s="1"/>
  <c r="AM39" i="150" s="1"/>
  <c r="AP39" i="150" s="1"/>
  <c r="AS39" i="150" s="1"/>
  <c r="AV39" i="150" s="1"/>
  <c r="AY39" i="150" s="1"/>
  <c r="BB39" i="150" s="1"/>
  <c r="BE39" i="150" s="1"/>
  <c r="BH39" i="150" s="1"/>
  <c r="BK39" i="150" s="1"/>
  <c r="BN39" i="150" s="1"/>
  <c r="BQ39" i="150" s="1"/>
  <c r="BT39" i="150" s="1"/>
  <c r="BW39" i="150" s="1"/>
  <c r="BZ39" i="150" s="1"/>
  <c r="CC39" i="150" s="1"/>
  <c r="CF39" i="150" s="1"/>
  <c r="CI39" i="150" s="1"/>
  <c r="CL39" i="150" s="1"/>
  <c r="CO39" i="150" s="1"/>
  <c r="CR39" i="150" s="1"/>
  <c r="CU39" i="150" s="1"/>
  <c r="CW38" i="150"/>
  <c r="CV38" i="150"/>
  <c r="I38" i="150"/>
  <c r="L38" i="150" s="1"/>
  <c r="O38" i="150" s="1"/>
  <c r="R38" i="150" s="1"/>
  <c r="U38" i="150" s="1"/>
  <c r="X38" i="150" s="1"/>
  <c r="AA38" i="150" s="1"/>
  <c r="AD38" i="150" s="1"/>
  <c r="AG38" i="150" s="1"/>
  <c r="AJ38" i="150" s="1"/>
  <c r="AM38" i="150" s="1"/>
  <c r="AP38" i="150" s="1"/>
  <c r="AS38" i="150" s="1"/>
  <c r="AV38" i="150" s="1"/>
  <c r="AY38" i="150" s="1"/>
  <c r="BB38" i="150" s="1"/>
  <c r="BE38" i="150" s="1"/>
  <c r="BH38" i="150" s="1"/>
  <c r="BK38" i="150" s="1"/>
  <c r="BN38" i="150" s="1"/>
  <c r="BQ38" i="150" s="1"/>
  <c r="BT38" i="150" s="1"/>
  <c r="BW38" i="150" s="1"/>
  <c r="BZ38" i="150" s="1"/>
  <c r="CC38" i="150" s="1"/>
  <c r="CF38" i="150" s="1"/>
  <c r="CI38" i="150" s="1"/>
  <c r="CL38" i="150" s="1"/>
  <c r="CO38" i="150" s="1"/>
  <c r="CR38" i="150" s="1"/>
  <c r="CU38" i="150" s="1"/>
  <c r="CW37" i="150"/>
  <c r="CV37" i="150"/>
  <c r="I37" i="150"/>
  <c r="L37" i="150" s="1"/>
  <c r="O37" i="150" s="1"/>
  <c r="R37" i="150" s="1"/>
  <c r="U37" i="150" s="1"/>
  <c r="X37" i="150" s="1"/>
  <c r="AA37" i="150" s="1"/>
  <c r="AD37" i="150" s="1"/>
  <c r="AG37" i="150" s="1"/>
  <c r="AJ37" i="150" s="1"/>
  <c r="AM37" i="150" s="1"/>
  <c r="AP37" i="150" s="1"/>
  <c r="AS37" i="150" s="1"/>
  <c r="AV37" i="150" s="1"/>
  <c r="AY37" i="150" s="1"/>
  <c r="BB37" i="150" s="1"/>
  <c r="BE37" i="150" s="1"/>
  <c r="BH37" i="150" s="1"/>
  <c r="BK37" i="150" s="1"/>
  <c r="BN37" i="150" s="1"/>
  <c r="BQ37" i="150" s="1"/>
  <c r="BT37" i="150" s="1"/>
  <c r="BW37" i="150" s="1"/>
  <c r="BZ37" i="150" s="1"/>
  <c r="CC37" i="150" s="1"/>
  <c r="CF37" i="150" s="1"/>
  <c r="CI37" i="150" s="1"/>
  <c r="CL37" i="150" s="1"/>
  <c r="CO37" i="150" s="1"/>
  <c r="CR37" i="150" s="1"/>
  <c r="CU37" i="150" s="1"/>
  <c r="CV36" i="150"/>
  <c r="CW36" i="150"/>
  <c r="I36" i="150"/>
  <c r="L36" i="150" s="1"/>
  <c r="CW35" i="150"/>
  <c r="I35" i="150"/>
  <c r="L35" i="150" s="1"/>
  <c r="CW34" i="150"/>
  <c r="CV34" i="150"/>
  <c r="I34" i="150"/>
  <c r="L34" i="150" s="1"/>
  <c r="O34" i="150" s="1"/>
  <c r="R34" i="150" s="1"/>
  <c r="U34" i="150" s="1"/>
  <c r="X34" i="150" s="1"/>
  <c r="AA34" i="150" s="1"/>
  <c r="AD34" i="150" s="1"/>
  <c r="AG34" i="150" s="1"/>
  <c r="AJ34" i="150" s="1"/>
  <c r="AM34" i="150" s="1"/>
  <c r="AP34" i="150" s="1"/>
  <c r="AS34" i="150" s="1"/>
  <c r="AV34" i="150" s="1"/>
  <c r="AY34" i="150" s="1"/>
  <c r="BB34" i="150" s="1"/>
  <c r="BE34" i="150" s="1"/>
  <c r="BH34" i="150" s="1"/>
  <c r="BK34" i="150" s="1"/>
  <c r="BN34" i="150" s="1"/>
  <c r="BQ34" i="150" s="1"/>
  <c r="BT34" i="150" s="1"/>
  <c r="BW34" i="150" s="1"/>
  <c r="BZ34" i="150" s="1"/>
  <c r="CC34" i="150" s="1"/>
  <c r="CF34" i="150" s="1"/>
  <c r="CI34" i="150" s="1"/>
  <c r="CL34" i="150" s="1"/>
  <c r="CO34" i="150" s="1"/>
  <c r="CR34" i="150" s="1"/>
  <c r="CU34" i="150" s="1"/>
  <c r="CW33" i="150"/>
  <c r="CV33" i="150"/>
  <c r="I33" i="150"/>
  <c r="L33" i="150" s="1"/>
  <c r="O33" i="150" s="1"/>
  <c r="R33" i="150" s="1"/>
  <c r="U33" i="150" s="1"/>
  <c r="X33" i="150" s="1"/>
  <c r="AA33" i="150" s="1"/>
  <c r="AD33" i="150" s="1"/>
  <c r="AG33" i="150" s="1"/>
  <c r="AJ33" i="150" s="1"/>
  <c r="AM33" i="150" s="1"/>
  <c r="AP33" i="150" s="1"/>
  <c r="AS33" i="150" s="1"/>
  <c r="AV33" i="150" s="1"/>
  <c r="AY33" i="150" s="1"/>
  <c r="BB33" i="150" s="1"/>
  <c r="BE33" i="150" s="1"/>
  <c r="BH33" i="150" s="1"/>
  <c r="BK33" i="150" s="1"/>
  <c r="BN33" i="150" s="1"/>
  <c r="BQ33" i="150" s="1"/>
  <c r="BT33" i="150" s="1"/>
  <c r="BW33" i="150" s="1"/>
  <c r="BZ33" i="150" s="1"/>
  <c r="CC33" i="150" s="1"/>
  <c r="CF33" i="150" s="1"/>
  <c r="CI33" i="150" s="1"/>
  <c r="CL33" i="150" s="1"/>
  <c r="CO33" i="150" s="1"/>
  <c r="CR33" i="150" s="1"/>
  <c r="CU33" i="150" s="1"/>
  <c r="DB33" i="150" s="1"/>
  <c r="DE33" i="150" s="1"/>
  <c r="I32" i="150"/>
  <c r="L32" i="150" s="1"/>
  <c r="O32" i="150" s="1"/>
  <c r="R32" i="150" s="1"/>
  <c r="U32" i="150" s="1"/>
  <c r="X32" i="150" s="1"/>
  <c r="AA32" i="150" s="1"/>
  <c r="AD32" i="150" s="1"/>
  <c r="AG32" i="150" s="1"/>
  <c r="AJ32" i="150" s="1"/>
  <c r="AM32" i="150" s="1"/>
  <c r="AP32" i="150" s="1"/>
  <c r="AS32" i="150" s="1"/>
  <c r="AV32" i="150" s="1"/>
  <c r="CW31" i="150"/>
  <c r="CV31" i="150"/>
  <c r="I31" i="150"/>
  <c r="L31" i="150" s="1"/>
  <c r="O31" i="150" s="1"/>
  <c r="R31" i="150" s="1"/>
  <c r="U31" i="150" s="1"/>
  <c r="X31" i="150" s="1"/>
  <c r="AA31" i="150" s="1"/>
  <c r="AD31" i="150" s="1"/>
  <c r="AG31" i="150" s="1"/>
  <c r="AJ31" i="150" s="1"/>
  <c r="AM31" i="150" s="1"/>
  <c r="AP31" i="150" s="1"/>
  <c r="AS31" i="150" s="1"/>
  <c r="AV31" i="150" s="1"/>
  <c r="AY31" i="150" s="1"/>
  <c r="BB31" i="150" s="1"/>
  <c r="BE31" i="150" s="1"/>
  <c r="BH31" i="150" s="1"/>
  <c r="BK31" i="150" s="1"/>
  <c r="BN31" i="150" s="1"/>
  <c r="BQ31" i="150" s="1"/>
  <c r="BT31" i="150" s="1"/>
  <c r="BW31" i="150" s="1"/>
  <c r="BZ31" i="150" s="1"/>
  <c r="CC31" i="150" s="1"/>
  <c r="CF31" i="150" s="1"/>
  <c r="CI31" i="150" s="1"/>
  <c r="CL31" i="150" s="1"/>
  <c r="CO31" i="150" s="1"/>
  <c r="CR31" i="150" s="1"/>
  <c r="CU31" i="150" s="1"/>
  <c r="CW30" i="150"/>
  <c r="CV30" i="150"/>
  <c r="I30" i="150"/>
  <c r="L30" i="150" s="1"/>
  <c r="O30" i="150" s="1"/>
  <c r="R30" i="150" s="1"/>
  <c r="U30" i="150" s="1"/>
  <c r="X30" i="150" s="1"/>
  <c r="AA30" i="150" s="1"/>
  <c r="AD30" i="150" s="1"/>
  <c r="AG30" i="150" s="1"/>
  <c r="AJ30" i="150" s="1"/>
  <c r="AM30" i="150" s="1"/>
  <c r="AP30" i="150" s="1"/>
  <c r="AS30" i="150" s="1"/>
  <c r="AV30" i="150" s="1"/>
  <c r="AY30" i="150" s="1"/>
  <c r="BB30" i="150" s="1"/>
  <c r="BE30" i="150" s="1"/>
  <c r="BH30" i="150" s="1"/>
  <c r="BK30" i="150" s="1"/>
  <c r="BN30" i="150" s="1"/>
  <c r="BQ30" i="150" s="1"/>
  <c r="BT30" i="150" s="1"/>
  <c r="BW30" i="150" s="1"/>
  <c r="BZ30" i="150" s="1"/>
  <c r="CC30" i="150" s="1"/>
  <c r="CF30" i="150" s="1"/>
  <c r="CI30" i="150" s="1"/>
  <c r="CL30" i="150" s="1"/>
  <c r="CO30" i="150" s="1"/>
  <c r="CR30" i="150" s="1"/>
  <c r="CU30" i="150" s="1"/>
  <c r="CV29" i="150"/>
  <c r="I29" i="150"/>
  <c r="L29" i="150" s="1"/>
  <c r="O29" i="150" s="1"/>
  <c r="R29" i="150" s="1"/>
  <c r="U29" i="150" s="1"/>
  <c r="CV28" i="150"/>
  <c r="CW28" i="150"/>
  <c r="I28" i="150"/>
  <c r="L28" i="150" s="1"/>
  <c r="O28" i="150" s="1"/>
  <c r="R28" i="150" s="1"/>
  <c r="U28" i="150" s="1"/>
  <c r="X28" i="150" s="1"/>
  <c r="AA28" i="150" s="1"/>
  <c r="AD28" i="150" s="1"/>
  <c r="AG28" i="150" s="1"/>
  <c r="AJ28" i="150" s="1"/>
  <c r="AM28" i="150" s="1"/>
  <c r="AP28" i="150" s="1"/>
  <c r="AS28" i="150" s="1"/>
  <c r="AV28" i="150" s="1"/>
  <c r="AY28" i="150" s="1"/>
  <c r="BB28" i="150" s="1"/>
  <c r="BE28" i="150" s="1"/>
  <c r="BH28" i="150" s="1"/>
  <c r="BK28" i="150" s="1"/>
  <c r="BN28" i="150" s="1"/>
  <c r="BQ28" i="150" s="1"/>
  <c r="BT28" i="150" s="1"/>
  <c r="BW28" i="150" s="1"/>
  <c r="BZ28" i="150" s="1"/>
  <c r="CC28" i="150" s="1"/>
  <c r="CF28" i="150" s="1"/>
  <c r="CI28" i="150" s="1"/>
  <c r="CL28" i="150" s="1"/>
  <c r="CO28" i="150" s="1"/>
  <c r="CR28" i="150" s="1"/>
  <c r="CU28" i="150" s="1"/>
  <c r="CV27" i="150"/>
  <c r="CW26" i="150"/>
  <c r="CV26" i="150"/>
  <c r="I26" i="150"/>
  <c r="L26" i="150" s="1"/>
  <c r="O26" i="150" s="1"/>
  <c r="R26" i="150" s="1"/>
  <c r="U26" i="150" s="1"/>
  <c r="X26" i="150" s="1"/>
  <c r="AA26" i="150" s="1"/>
  <c r="AD26" i="150" s="1"/>
  <c r="AG26" i="150" s="1"/>
  <c r="AJ26" i="150" s="1"/>
  <c r="AM26" i="150" s="1"/>
  <c r="AP26" i="150" s="1"/>
  <c r="AS26" i="150" s="1"/>
  <c r="AV26" i="150" s="1"/>
  <c r="AY26" i="150" s="1"/>
  <c r="BB26" i="150" s="1"/>
  <c r="BE26" i="150" s="1"/>
  <c r="BH26" i="150" s="1"/>
  <c r="BK26" i="150" s="1"/>
  <c r="BN26" i="150" s="1"/>
  <c r="BQ26" i="150" s="1"/>
  <c r="BT26" i="150" s="1"/>
  <c r="BW26" i="150" s="1"/>
  <c r="BZ26" i="150" s="1"/>
  <c r="CC26" i="150" s="1"/>
  <c r="CF26" i="150" s="1"/>
  <c r="CI26" i="150" s="1"/>
  <c r="CL26" i="150" s="1"/>
  <c r="CO26" i="150" s="1"/>
  <c r="CR26" i="150" s="1"/>
  <c r="CU26" i="150" s="1"/>
  <c r="CV25" i="150"/>
  <c r="I25" i="150"/>
  <c r="L25" i="150" s="1"/>
  <c r="O25" i="150" s="1"/>
  <c r="R25" i="150" s="1"/>
  <c r="U25" i="150" s="1"/>
  <c r="X25" i="150" s="1"/>
  <c r="AA25" i="150" s="1"/>
  <c r="AD25" i="150" s="1"/>
  <c r="AG25" i="150" s="1"/>
  <c r="AJ25" i="150" s="1"/>
  <c r="AM25" i="150" s="1"/>
  <c r="AP25" i="150" s="1"/>
  <c r="AS25" i="150" s="1"/>
  <c r="AV25" i="150" s="1"/>
  <c r="AY25" i="150" s="1"/>
  <c r="BB25" i="150" s="1"/>
  <c r="BE25" i="150" s="1"/>
  <c r="BH25" i="150" s="1"/>
  <c r="BK25" i="150" s="1"/>
  <c r="BN25" i="150" s="1"/>
  <c r="BQ25" i="150" s="1"/>
  <c r="BT25" i="150" s="1"/>
  <c r="BW25" i="150" s="1"/>
  <c r="BZ25" i="150" s="1"/>
  <c r="CC25" i="150" s="1"/>
  <c r="CF25" i="150" s="1"/>
  <c r="CI25" i="150" s="1"/>
  <c r="CL25" i="150" s="1"/>
  <c r="CO25" i="150" s="1"/>
  <c r="CR25" i="150" s="1"/>
  <c r="CU25" i="150" s="1"/>
  <c r="CV24" i="150"/>
  <c r="CW24" i="150"/>
  <c r="I24" i="150"/>
  <c r="L24" i="150" s="1"/>
  <c r="O24" i="150" s="1"/>
  <c r="R24" i="150" s="1"/>
  <c r="U24" i="150" s="1"/>
  <c r="X24" i="150" s="1"/>
  <c r="AA24" i="150" s="1"/>
  <c r="CV23" i="150"/>
  <c r="CW23" i="150"/>
  <c r="I23" i="150"/>
  <c r="L23" i="150" s="1"/>
  <c r="O23" i="150" s="1"/>
  <c r="R23" i="150" s="1"/>
  <c r="U23" i="150" s="1"/>
  <c r="X23" i="150" s="1"/>
  <c r="AA23" i="150" s="1"/>
  <c r="AD23" i="150" s="1"/>
  <c r="AG23" i="150" s="1"/>
  <c r="AJ23" i="150" s="1"/>
  <c r="AM23" i="150" s="1"/>
  <c r="AP23" i="150" s="1"/>
  <c r="AS23" i="150" s="1"/>
  <c r="AV23" i="150" s="1"/>
  <c r="AY23" i="150" s="1"/>
  <c r="BB23" i="150" s="1"/>
  <c r="BE23" i="150" s="1"/>
  <c r="BH23" i="150" s="1"/>
  <c r="BK23" i="150" s="1"/>
  <c r="BN23" i="150" s="1"/>
  <c r="BQ23" i="150" s="1"/>
  <c r="BT23" i="150" s="1"/>
  <c r="BW23" i="150" s="1"/>
  <c r="BZ23" i="150" s="1"/>
  <c r="CC23" i="150" s="1"/>
  <c r="CF23" i="150" s="1"/>
  <c r="CI23" i="150" s="1"/>
  <c r="CL23" i="150" s="1"/>
  <c r="CO23" i="150" s="1"/>
  <c r="CR23" i="150" s="1"/>
  <c r="CU23" i="150" s="1"/>
  <c r="CV22" i="150"/>
  <c r="I22" i="150"/>
  <c r="L22" i="150" s="1"/>
  <c r="O22" i="150" s="1"/>
  <c r="R22" i="150" s="1"/>
  <c r="U22" i="150" s="1"/>
  <c r="X22" i="150" s="1"/>
  <c r="AA22" i="150" s="1"/>
  <c r="AD22" i="150" s="1"/>
  <c r="AG22" i="150" s="1"/>
  <c r="AJ22" i="150" s="1"/>
  <c r="AM22" i="150" s="1"/>
  <c r="AP22" i="150" s="1"/>
  <c r="AS22" i="150" s="1"/>
  <c r="AV22" i="150" s="1"/>
  <c r="AY22" i="150" s="1"/>
  <c r="BB22" i="150" s="1"/>
  <c r="BE22" i="150" s="1"/>
  <c r="BH22" i="150" s="1"/>
  <c r="BK22" i="150" s="1"/>
  <c r="BN22" i="150" s="1"/>
  <c r="BQ22" i="150" s="1"/>
  <c r="BT22" i="150" s="1"/>
  <c r="BW22" i="150" s="1"/>
  <c r="BZ22" i="150" s="1"/>
  <c r="CC22" i="150" s="1"/>
  <c r="CF22" i="150" s="1"/>
  <c r="CI22" i="150" s="1"/>
  <c r="CL22" i="150" s="1"/>
  <c r="CO22" i="150" s="1"/>
  <c r="CR22" i="150" s="1"/>
  <c r="CU22" i="150" s="1"/>
  <c r="CW20" i="150"/>
  <c r="CV20" i="150"/>
  <c r="I20" i="150"/>
  <c r="L20" i="150" s="1"/>
  <c r="O20" i="150" s="1"/>
  <c r="R20" i="150" s="1"/>
  <c r="U20" i="150" s="1"/>
  <c r="X20" i="150" s="1"/>
  <c r="AA20" i="150" s="1"/>
  <c r="AD20" i="150" s="1"/>
  <c r="AG20" i="150" s="1"/>
  <c r="AJ20" i="150" s="1"/>
  <c r="AM20" i="150" s="1"/>
  <c r="AP20" i="150" s="1"/>
  <c r="AS20" i="150" s="1"/>
  <c r="AV20" i="150" s="1"/>
  <c r="AY20" i="150" s="1"/>
  <c r="BB20" i="150" s="1"/>
  <c r="BE20" i="150" s="1"/>
  <c r="BH20" i="150" s="1"/>
  <c r="BK20" i="150" s="1"/>
  <c r="BN20" i="150" s="1"/>
  <c r="BQ20" i="150" s="1"/>
  <c r="BT20" i="150" s="1"/>
  <c r="BW20" i="150" s="1"/>
  <c r="BZ20" i="150" s="1"/>
  <c r="CC20" i="150" s="1"/>
  <c r="CF20" i="150" s="1"/>
  <c r="CI20" i="150" s="1"/>
  <c r="CL20" i="150" s="1"/>
  <c r="CO20" i="150" s="1"/>
  <c r="CR20" i="150" s="1"/>
  <c r="CU20" i="150" s="1"/>
  <c r="CV19" i="150"/>
  <c r="I19" i="150"/>
  <c r="L19" i="150" s="1"/>
  <c r="O19" i="150" s="1"/>
  <c r="R19" i="150" s="1"/>
  <c r="U19" i="150" s="1"/>
  <c r="X19" i="150" s="1"/>
  <c r="AA19" i="150" s="1"/>
  <c r="AD19" i="150" s="1"/>
  <c r="AG19" i="150" s="1"/>
  <c r="AJ19" i="150" s="1"/>
  <c r="AM19" i="150" s="1"/>
  <c r="AP19" i="150" s="1"/>
  <c r="AS19" i="150" s="1"/>
  <c r="AV19" i="150" s="1"/>
  <c r="AY19" i="150" s="1"/>
  <c r="BB19" i="150" s="1"/>
  <c r="BE19" i="150" s="1"/>
  <c r="BH19" i="150" s="1"/>
  <c r="BK19" i="150" s="1"/>
  <c r="BN19" i="150" s="1"/>
  <c r="BQ19" i="150" s="1"/>
  <c r="BT19" i="150" s="1"/>
  <c r="BW19" i="150" s="1"/>
  <c r="BZ19" i="150" s="1"/>
  <c r="CC19" i="150" s="1"/>
  <c r="CF19" i="150" s="1"/>
  <c r="CI19" i="150" s="1"/>
  <c r="CL19" i="150" s="1"/>
  <c r="CO19" i="150" s="1"/>
  <c r="CR19" i="150" s="1"/>
  <c r="CU19" i="150" s="1"/>
  <c r="CV18" i="150"/>
  <c r="I18" i="150"/>
  <c r="L18" i="150" s="1"/>
  <c r="O18" i="150" s="1"/>
  <c r="R18" i="150" s="1"/>
  <c r="U18" i="150" s="1"/>
  <c r="X18" i="150" s="1"/>
  <c r="AA18" i="150" s="1"/>
  <c r="AD18" i="150" s="1"/>
  <c r="AG18" i="150" s="1"/>
  <c r="AJ18" i="150" s="1"/>
  <c r="AM18" i="150" s="1"/>
  <c r="AP18" i="150" s="1"/>
  <c r="AS18" i="150" s="1"/>
  <c r="AV18" i="150" s="1"/>
  <c r="AY18" i="150" s="1"/>
  <c r="BB18" i="150" s="1"/>
  <c r="BE18" i="150" s="1"/>
  <c r="BH18" i="150" s="1"/>
  <c r="BK18" i="150" s="1"/>
  <c r="BN18" i="150" s="1"/>
  <c r="BQ18" i="150" s="1"/>
  <c r="BT18" i="150" s="1"/>
  <c r="BW18" i="150" s="1"/>
  <c r="BZ18" i="150" s="1"/>
  <c r="CC18" i="150" s="1"/>
  <c r="CF18" i="150" s="1"/>
  <c r="CI18" i="150" s="1"/>
  <c r="CL18" i="150" s="1"/>
  <c r="CO18" i="150" s="1"/>
  <c r="CR18" i="150" s="1"/>
  <c r="CU18" i="150" s="1"/>
  <c r="CV16" i="150"/>
  <c r="CV15" i="150"/>
  <c r="I15" i="150"/>
  <c r="L15" i="150" s="1"/>
  <c r="O15" i="150" s="1"/>
  <c r="R15" i="150" s="1"/>
  <c r="U15" i="150" s="1"/>
  <c r="X15" i="150" s="1"/>
  <c r="AA15" i="150" s="1"/>
  <c r="AD15" i="150" s="1"/>
  <c r="AG15" i="150" s="1"/>
  <c r="AJ15" i="150" s="1"/>
  <c r="AM15" i="150" s="1"/>
  <c r="AP15" i="150" s="1"/>
  <c r="AS15" i="150" s="1"/>
  <c r="AV15" i="150" s="1"/>
  <c r="AY15" i="150" s="1"/>
  <c r="BB15" i="150" s="1"/>
  <c r="BE15" i="150" s="1"/>
  <c r="BH15" i="150" s="1"/>
  <c r="BK15" i="150" s="1"/>
  <c r="BN15" i="150" s="1"/>
  <c r="BQ15" i="150" s="1"/>
  <c r="BT15" i="150" s="1"/>
  <c r="BW15" i="150" s="1"/>
  <c r="BZ15" i="150" s="1"/>
  <c r="CC15" i="150" s="1"/>
  <c r="CF15" i="150" s="1"/>
  <c r="CI15" i="150" s="1"/>
  <c r="CL15" i="150" s="1"/>
  <c r="CO15" i="150" s="1"/>
  <c r="CR15" i="150" s="1"/>
  <c r="CU15" i="150" s="1"/>
  <c r="CV14" i="150"/>
  <c r="I14" i="150"/>
  <c r="L14" i="150" s="1"/>
  <c r="O14" i="150" s="1"/>
  <c r="R14" i="150" s="1"/>
  <c r="U14" i="150" s="1"/>
  <c r="X14" i="150" s="1"/>
  <c r="AA14" i="150" s="1"/>
  <c r="AD14" i="150" s="1"/>
  <c r="AG14" i="150" s="1"/>
  <c r="AJ14" i="150" s="1"/>
  <c r="AM14" i="150" s="1"/>
  <c r="AP14" i="150" s="1"/>
  <c r="AS14" i="150" s="1"/>
  <c r="AV14" i="150" s="1"/>
  <c r="AY14" i="150" s="1"/>
  <c r="BB14" i="150" s="1"/>
  <c r="BE14" i="150" s="1"/>
  <c r="BH14" i="150" s="1"/>
  <c r="BK14" i="150" s="1"/>
  <c r="BN14" i="150" s="1"/>
  <c r="BQ14" i="150" s="1"/>
  <c r="BT14" i="150" s="1"/>
  <c r="BW14" i="150" s="1"/>
  <c r="BZ14" i="150" s="1"/>
  <c r="CC14" i="150" s="1"/>
  <c r="CF14" i="150" s="1"/>
  <c r="CI14" i="150" s="1"/>
  <c r="CL14" i="150" s="1"/>
  <c r="CO14" i="150" s="1"/>
  <c r="CR14" i="150" s="1"/>
  <c r="CU14" i="150" s="1"/>
  <c r="CW14" i="150"/>
  <c r="CV13" i="150"/>
  <c r="CV12" i="150"/>
  <c r="CW12" i="150"/>
  <c r="I12" i="150"/>
  <c r="L12" i="150" s="1"/>
  <c r="O12" i="150" s="1"/>
  <c r="R12" i="150" s="1"/>
  <c r="U12" i="150" s="1"/>
  <c r="X12" i="150" s="1"/>
  <c r="AA12" i="150" s="1"/>
  <c r="AD12" i="150" s="1"/>
  <c r="AG12" i="150" s="1"/>
  <c r="AJ12" i="150" s="1"/>
  <c r="AM12" i="150" s="1"/>
  <c r="AP12" i="150" s="1"/>
  <c r="AS12" i="150" s="1"/>
  <c r="AV12" i="150" s="1"/>
  <c r="AY12" i="150" s="1"/>
  <c r="BB12" i="150" s="1"/>
  <c r="BE12" i="150" s="1"/>
  <c r="BH12" i="150" s="1"/>
  <c r="BK12" i="150" s="1"/>
  <c r="BN12" i="150" s="1"/>
  <c r="BQ12" i="150" s="1"/>
  <c r="BT12" i="150" s="1"/>
  <c r="BW12" i="150" s="1"/>
  <c r="BZ12" i="150" s="1"/>
  <c r="CC12" i="150" s="1"/>
  <c r="CF12" i="150" s="1"/>
  <c r="CI12" i="150" s="1"/>
  <c r="CL12" i="150" s="1"/>
  <c r="CO12" i="150" s="1"/>
  <c r="CR12" i="150" s="1"/>
  <c r="CU12" i="150" s="1"/>
  <c r="CW11" i="150"/>
  <c r="CV11" i="150"/>
  <c r="I11" i="150"/>
  <c r="L11" i="150" s="1"/>
  <c r="O11" i="150" s="1"/>
  <c r="R11" i="150" s="1"/>
  <c r="U11" i="150" s="1"/>
  <c r="X11" i="150" s="1"/>
  <c r="AA11" i="150" s="1"/>
  <c r="AD11" i="150" s="1"/>
  <c r="AG11" i="150" s="1"/>
  <c r="AJ11" i="150" s="1"/>
  <c r="AM11" i="150" s="1"/>
  <c r="AP11" i="150" s="1"/>
  <c r="AS11" i="150" s="1"/>
  <c r="AV11" i="150" s="1"/>
  <c r="AY11" i="150" s="1"/>
  <c r="BB11" i="150" s="1"/>
  <c r="BE11" i="150" s="1"/>
  <c r="BH11" i="150" s="1"/>
  <c r="BK11" i="150" s="1"/>
  <c r="BN11" i="150" s="1"/>
  <c r="BQ11" i="150" s="1"/>
  <c r="BT11" i="150" s="1"/>
  <c r="BW11" i="150" s="1"/>
  <c r="BZ11" i="150" s="1"/>
  <c r="CC11" i="150" s="1"/>
  <c r="CF11" i="150" s="1"/>
  <c r="CI11" i="150" s="1"/>
  <c r="CL11" i="150" s="1"/>
  <c r="CO11" i="150" s="1"/>
  <c r="CR11" i="150" s="1"/>
  <c r="CU11" i="150" s="1"/>
  <c r="CW10" i="150"/>
  <c r="CV10" i="150"/>
  <c r="I10" i="150"/>
  <c r="L10" i="150" s="1"/>
  <c r="O10" i="150" s="1"/>
  <c r="R10" i="150" s="1"/>
  <c r="U10" i="150" s="1"/>
  <c r="X10" i="150" s="1"/>
  <c r="AA10" i="150" s="1"/>
  <c r="AD10" i="150" s="1"/>
  <c r="AG10" i="150" s="1"/>
  <c r="AJ10" i="150" s="1"/>
  <c r="AM10" i="150" s="1"/>
  <c r="AP10" i="150" s="1"/>
  <c r="AS10" i="150" s="1"/>
  <c r="AV10" i="150" s="1"/>
  <c r="AY10" i="150" s="1"/>
  <c r="BB10" i="150" s="1"/>
  <c r="BE10" i="150" s="1"/>
  <c r="BH10" i="150" s="1"/>
  <c r="BK10" i="150" s="1"/>
  <c r="BN10" i="150" s="1"/>
  <c r="BQ10" i="150" s="1"/>
  <c r="BT10" i="150" s="1"/>
  <c r="BW10" i="150" s="1"/>
  <c r="BZ10" i="150" s="1"/>
  <c r="CC10" i="150" s="1"/>
  <c r="CF10" i="150" s="1"/>
  <c r="CI10" i="150" s="1"/>
  <c r="CL10" i="150" s="1"/>
  <c r="CO10" i="150" s="1"/>
  <c r="CR10" i="150" s="1"/>
  <c r="CU10" i="150" s="1"/>
  <c r="CW9" i="150"/>
  <c r="CV9" i="150"/>
  <c r="I9" i="150"/>
  <c r="L9" i="150" s="1"/>
  <c r="O9" i="150" s="1"/>
  <c r="R9" i="150" s="1"/>
  <c r="U9" i="150" s="1"/>
  <c r="X9" i="150" s="1"/>
  <c r="AA9" i="150" s="1"/>
  <c r="AD9" i="150" s="1"/>
  <c r="AG9" i="150" s="1"/>
  <c r="AJ9" i="150" s="1"/>
  <c r="AM9" i="150" s="1"/>
  <c r="AP9" i="150" s="1"/>
  <c r="AS9" i="150" s="1"/>
  <c r="AV9" i="150" s="1"/>
  <c r="AY9" i="150" s="1"/>
  <c r="BB9" i="150" s="1"/>
  <c r="BE9" i="150" s="1"/>
  <c r="BH9" i="150" s="1"/>
  <c r="BK9" i="150" s="1"/>
  <c r="BN9" i="150" s="1"/>
  <c r="BQ9" i="150" s="1"/>
  <c r="BT9" i="150" s="1"/>
  <c r="BW9" i="150" s="1"/>
  <c r="BZ9" i="150" s="1"/>
  <c r="CC9" i="150" s="1"/>
  <c r="CF9" i="150" s="1"/>
  <c r="CI9" i="150" s="1"/>
  <c r="CL9" i="150" s="1"/>
  <c r="CO9" i="150" s="1"/>
  <c r="CR9" i="150" s="1"/>
  <c r="CU9" i="150" s="1"/>
  <c r="CW8" i="150"/>
  <c r="CV8" i="150"/>
  <c r="I8" i="150"/>
  <c r="L8" i="150" s="1"/>
  <c r="O8" i="150" s="1"/>
  <c r="R8" i="150" s="1"/>
  <c r="U8" i="150" s="1"/>
  <c r="X8" i="150" s="1"/>
  <c r="AA8" i="150" s="1"/>
  <c r="AD8" i="150" s="1"/>
  <c r="AG8" i="150" s="1"/>
  <c r="AJ8" i="150" s="1"/>
  <c r="AM8" i="150" s="1"/>
  <c r="AP8" i="150" s="1"/>
  <c r="AS8" i="150" s="1"/>
  <c r="AV8" i="150" s="1"/>
  <c r="AY8" i="150" s="1"/>
  <c r="BB8" i="150" s="1"/>
  <c r="BE8" i="150" s="1"/>
  <c r="BH8" i="150" s="1"/>
  <c r="BK8" i="150" s="1"/>
  <c r="BN8" i="150" s="1"/>
  <c r="BQ8" i="150" s="1"/>
  <c r="BT8" i="150" s="1"/>
  <c r="BW8" i="150" s="1"/>
  <c r="BZ8" i="150" s="1"/>
  <c r="CC8" i="150" s="1"/>
  <c r="CF8" i="150" s="1"/>
  <c r="CI8" i="150" s="1"/>
  <c r="CL8" i="150" s="1"/>
  <c r="CO8" i="150" s="1"/>
  <c r="CR8" i="150" s="1"/>
  <c r="CU8" i="150" s="1"/>
  <c r="CW7" i="150"/>
  <c r="CV7" i="150"/>
  <c r="I7" i="150"/>
  <c r="L7" i="150" s="1"/>
  <c r="O7" i="150" s="1"/>
  <c r="R7" i="150" s="1"/>
  <c r="U7" i="150" s="1"/>
  <c r="X7" i="150" s="1"/>
  <c r="AA7" i="150" s="1"/>
  <c r="AD7" i="150" s="1"/>
  <c r="AG7" i="150" s="1"/>
  <c r="AJ7" i="150" s="1"/>
  <c r="AM7" i="150" s="1"/>
  <c r="AP7" i="150" s="1"/>
  <c r="AS7" i="150" s="1"/>
  <c r="AV7" i="150" s="1"/>
  <c r="AY7" i="150" s="1"/>
  <c r="BB7" i="150" s="1"/>
  <c r="BE7" i="150" s="1"/>
  <c r="BH7" i="150" s="1"/>
  <c r="BK7" i="150" s="1"/>
  <c r="BN7" i="150" s="1"/>
  <c r="BQ7" i="150" s="1"/>
  <c r="BT7" i="150" s="1"/>
  <c r="BW7" i="150" s="1"/>
  <c r="BZ7" i="150" s="1"/>
  <c r="CC7" i="150" s="1"/>
  <c r="CF7" i="150" s="1"/>
  <c r="CI7" i="150" s="1"/>
  <c r="CL7" i="150" s="1"/>
  <c r="CO7" i="150" s="1"/>
  <c r="CR7" i="150" s="1"/>
  <c r="CU7" i="150" s="1"/>
  <c r="CV6" i="150"/>
  <c r="I6" i="150"/>
  <c r="L6" i="150" s="1"/>
  <c r="O6" i="150" s="1"/>
  <c r="R6" i="150" s="1"/>
  <c r="U6" i="150" s="1"/>
  <c r="X6" i="150" s="1"/>
  <c r="AA6" i="150" s="1"/>
  <c r="AD6" i="150" s="1"/>
  <c r="AG6" i="150" s="1"/>
  <c r="AJ6" i="150" s="1"/>
  <c r="AM6" i="150" s="1"/>
  <c r="AP6" i="150" s="1"/>
  <c r="AS6" i="150" s="1"/>
  <c r="AV6" i="150" s="1"/>
  <c r="AY6" i="150" s="1"/>
  <c r="BB6" i="150" s="1"/>
  <c r="BE6" i="150" s="1"/>
  <c r="BH6" i="150" s="1"/>
  <c r="BK6" i="150" s="1"/>
  <c r="BN6" i="150" s="1"/>
  <c r="BQ6" i="150" s="1"/>
  <c r="BT6" i="150" s="1"/>
  <c r="BW6" i="150" s="1"/>
  <c r="BZ6" i="150" s="1"/>
  <c r="CC6" i="150" s="1"/>
  <c r="CF6" i="150" s="1"/>
  <c r="CI6" i="150" s="1"/>
  <c r="CL6" i="150" s="1"/>
  <c r="CO6" i="150" s="1"/>
  <c r="CR6" i="150" s="1"/>
  <c r="CU6" i="150" s="1"/>
  <c r="CW5" i="150"/>
  <c r="CV5" i="150"/>
  <c r="I5" i="150"/>
  <c r="L5" i="150" s="1"/>
  <c r="O5" i="150" s="1"/>
  <c r="R5" i="150" s="1"/>
  <c r="U5" i="150" s="1"/>
  <c r="X5" i="150" s="1"/>
  <c r="AA5" i="150" s="1"/>
  <c r="AD5" i="150" s="1"/>
  <c r="AG5" i="150" s="1"/>
  <c r="AJ5" i="150" s="1"/>
  <c r="AM5" i="150" s="1"/>
  <c r="AP5" i="150" s="1"/>
  <c r="AS5" i="150" s="1"/>
  <c r="AV5" i="150" s="1"/>
  <c r="AY5" i="150" s="1"/>
  <c r="BB5" i="150" s="1"/>
  <c r="BE5" i="150" s="1"/>
  <c r="BH5" i="150" s="1"/>
  <c r="BK5" i="150" s="1"/>
  <c r="BN5" i="150" s="1"/>
  <c r="BQ5" i="150" s="1"/>
  <c r="BT5" i="150" s="1"/>
  <c r="BW5" i="150" s="1"/>
  <c r="BZ5" i="150" s="1"/>
  <c r="CC5" i="150" s="1"/>
  <c r="CF5" i="150" s="1"/>
  <c r="CI5" i="150" s="1"/>
  <c r="CL5" i="150" s="1"/>
  <c r="CO5" i="150" s="1"/>
  <c r="CR5" i="150" s="1"/>
  <c r="CU5" i="150" s="1"/>
  <c r="CS39" i="146"/>
  <c r="CS35" i="146"/>
  <c r="CS32" i="146"/>
  <c r="CS21" i="146"/>
  <c r="CT83" i="146"/>
  <c r="CT76" i="146"/>
  <c r="CT63" i="146"/>
  <c r="CT59" i="146"/>
  <c r="CT17" i="146"/>
  <c r="CT29" i="146"/>
  <c r="CT12" i="146"/>
  <c r="CT21" i="146"/>
  <c r="CT60" i="146"/>
  <c r="CT23" i="146"/>
  <c r="CN14" i="146"/>
  <c r="CN13" i="146"/>
  <c r="CN77" i="146"/>
  <c r="CN40" i="146"/>
  <c r="CN25" i="146"/>
  <c r="CN6" i="146"/>
  <c r="CN58" i="146"/>
  <c r="CN15" i="146"/>
  <c r="CN60" i="146"/>
  <c r="CN48" i="146"/>
  <c r="CN24" i="146"/>
  <c r="CN22" i="146"/>
  <c r="CM76" i="146"/>
  <c r="CM63" i="146"/>
  <c r="CM32" i="146"/>
  <c r="CM29" i="146"/>
  <c r="CM21" i="146"/>
  <c r="CM17" i="146"/>
  <c r="CM12" i="146"/>
  <c r="X29" i="150" l="1"/>
  <c r="AA29" i="150" s="1"/>
  <c r="AD29" i="150" s="1"/>
  <c r="AG29" i="150" s="1"/>
  <c r="AJ29" i="150" s="1"/>
  <c r="AM29" i="150" s="1"/>
  <c r="AP29" i="150" s="1"/>
  <c r="AS29" i="150" s="1"/>
  <c r="AV29" i="150" s="1"/>
  <c r="AY29" i="150" s="1"/>
  <c r="BB29" i="150" s="1"/>
  <c r="BE29" i="150" s="1"/>
  <c r="BH29" i="150" s="1"/>
  <c r="BK29" i="150" s="1"/>
  <c r="BN29" i="150" s="1"/>
  <c r="BQ29" i="150" s="1"/>
  <c r="BT29" i="150" s="1"/>
  <c r="BW29" i="150" s="1"/>
  <c r="BZ29" i="150" s="1"/>
  <c r="CC29" i="150" s="1"/>
  <c r="CF29" i="150" s="1"/>
  <c r="CI29" i="150" s="1"/>
  <c r="CL29" i="150" s="1"/>
  <c r="CO29" i="150" s="1"/>
  <c r="CR29" i="150" s="1"/>
  <c r="CU29" i="150" s="1"/>
  <c r="CX81" i="150"/>
  <c r="CZ81" i="150" s="1"/>
  <c r="DB81" i="150"/>
  <c r="DE81" i="150" s="1"/>
  <c r="DB13" i="150"/>
  <c r="DE13" i="150" s="1"/>
  <c r="CX13" i="150"/>
  <c r="CZ13" i="150" s="1"/>
  <c r="DB11" i="150"/>
  <c r="DE11" i="150" s="1"/>
  <c r="CX11" i="150"/>
  <c r="CZ11" i="150" s="1"/>
  <c r="CX8" i="150"/>
  <c r="CZ8" i="150" s="1"/>
  <c r="DB8" i="150"/>
  <c r="DE8" i="150" s="1"/>
  <c r="DB14" i="150"/>
  <c r="DE14" i="150" s="1"/>
  <c r="CX14" i="150"/>
  <c r="CZ14" i="150" s="1"/>
  <c r="DB18" i="150"/>
  <c r="DE18" i="150" s="1"/>
  <c r="CX18" i="150"/>
  <c r="CZ18" i="150" s="1"/>
  <c r="DB12" i="150"/>
  <c r="DE12" i="150" s="1"/>
  <c r="CX12" i="150"/>
  <c r="CZ12" i="150" s="1"/>
  <c r="DB5" i="150"/>
  <c r="DE5" i="150" s="1"/>
  <c r="CX5" i="150"/>
  <c r="CZ5" i="150" s="1"/>
  <c r="CX9" i="150"/>
  <c r="CZ9" i="150" s="1"/>
  <c r="DB9" i="150"/>
  <c r="DE9" i="150" s="1"/>
  <c r="DB15" i="150"/>
  <c r="DE15" i="150" s="1"/>
  <c r="CX15" i="150"/>
  <c r="CZ15" i="150" s="1"/>
  <c r="DB19" i="150"/>
  <c r="DE19" i="150" s="1"/>
  <c r="CX19" i="150"/>
  <c r="CZ19" i="150" s="1"/>
  <c r="CX22" i="150"/>
  <c r="CZ22" i="150" s="1"/>
  <c r="DB22" i="150"/>
  <c r="DE22" i="150" s="1"/>
  <c r="DB23" i="150"/>
  <c r="DE23" i="150" s="1"/>
  <c r="CX23" i="150"/>
  <c r="CZ23" i="150" s="1"/>
  <c r="DB31" i="150"/>
  <c r="DE31" i="150" s="1"/>
  <c r="CX31" i="150"/>
  <c r="CZ31" i="150" s="1"/>
  <c r="DB10" i="150"/>
  <c r="DE10" i="150" s="1"/>
  <c r="CX10" i="150"/>
  <c r="CZ10" i="150" s="1"/>
  <c r="CX6" i="150"/>
  <c r="CZ6" i="150" s="1"/>
  <c r="DB6" i="150"/>
  <c r="DE6" i="150" s="1"/>
  <c r="CX7" i="150"/>
  <c r="CZ7" i="150" s="1"/>
  <c r="DB7" i="150"/>
  <c r="DE7" i="150" s="1"/>
  <c r="CV17" i="150"/>
  <c r="I17" i="150"/>
  <c r="L17" i="150" s="1"/>
  <c r="O17" i="150" s="1"/>
  <c r="R17" i="150" s="1"/>
  <c r="U17" i="150" s="1"/>
  <c r="X17" i="150" s="1"/>
  <c r="AA17" i="150" s="1"/>
  <c r="AD17" i="150" s="1"/>
  <c r="AG17" i="150" s="1"/>
  <c r="AJ17" i="150" s="1"/>
  <c r="AM17" i="150" s="1"/>
  <c r="AP17" i="150" s="1"/>
  <c r="AS17" i="150" s="1"/>
  <c r="AV17" i="150" s="1"/>
  <c r="AY17" i="150" s="1"/>
  <c r="BB17" i="150" s="1"/>
  <c r="BE17" i="150" s="1"/>
  <c r="BH17" i="150" s="1"/>
  <c r="BK17" i="150" s="1"/>
  <c r="BN17" i="150" s="1"/>
  <c r="BQ17" i="150" s="1"/>
  <c r="BT17" i="150" s="1"/>
  <c r="BW17" i="150" s="1"/>
  <c r="BZ17" i="150" s="1"/>
  <c r="DB49" i="150"/>
  <c r="DE49" i="150" s="1"/>
  <c r="CX49" i="150"/>
  <c r="CZ49" i="150" s="1"/>
  <c r="DB52" i="150"/>
  <c r="DE52" i="150" s="1"/>
  <c r="CX52" i="150"/>
  <c r="CZ52" i="150" s="1"/>
  <c r="DB58" i="150"/>
  <c r="DE58" i="150" s="1"/>
  <c r="CX58" i="150"/>
  <c r="CZ58" i="150" s="1"/>
  <c r="DB41" i="150"/>
  <c r="DE41" i="150" s="1"/>
  <c r="CX41" i="150"/>
  <c r="CZ41" i="150" s="1"/>
  <c r="DB28" i="150"/>
  <c r="DE28" i="150" s="1"/>
  <c r="CX28" i="150"/>
  <c r="CZ28" i="150" s="1"/>
  <c r="CX63" i="150"/>
  <c r="CZ63" i="150" s="1"/>
  <c r="DB63" i="150"/>
  <c r="DE63" i="150" s="1"/>
  <c r="CX33" i="150"/>
  <c r="CZ33" i="150" s="1"/>
  <c r="DB20" i="150"/>
  <c r="DE20" i="150" s="1"/>
  <c r="CX20" i="150"/>
  <c r="CZ20" i="150" s="1"/>
  <c r="CX56" i="150"/>
  <c r="CZ56" i="150" s="1"/>
  <c r="DB56" i="150"/>
  <c r="DE56" i="150" s="1"/>
  <c r="CX53" i="150"/>
  <c r="CZ53" i="150" s="1"/>
  <c r="DB53" i="150"/>
  <c r="DE53" i="150" s="1"/>
  <c r="CX39" i="150"/>
  <c r="CZ39" i="150" s="1"/>
  <c r="DB39" i="150"/>
  <c r="DE39" i="150" s="1"/>
  <c r="CX42" i="150"/>
  <c r="CZ42" i="150" s="1"/>
  <c r="DB42" i="150"/>
  <c r="DE42" i="150" s="1"/>
  <c r="DB47" i="150"/>
  <c r="DE47" i="150" s="1"/>
  <c r="CX47" i="150"/>
  <c r="CZ47" i="150" s="1"/>
  <c r="DB66" i="150"/>
  <c r="DE66" i="150" s="1"/>
  <c r="CX66" i="150"/>
  <c r="CZ66" i="150" s="1"/>
  <c r="DB26" i="150"/>
  <c r="DE26" i="150" s="1"/>
  <c r="CX26" i="150"/>
  <c r="CZ26" i="150" s="1"/>
  <c r="CX30" i="150"/>
  <c r="CZ30" i="150" s="1"/>
  <c r="DB30" i="150"/>
  <c r="DE30" i="150" s="1"/>
  <c r="DB37" i="150"/>
  <c r="DE37" i="150" s="1"/>
  <c r="CX37" i="150"/>
  <c r="CZ37" i="150" s="1"/>
  <c r="AD24" i="150"/>
  <c r="AG24" i="150" s="1"/>
  <c r="AJ24" i="150" s="1"/>
  <c r="AM24" i="150" s="1"/>
  <c r="AP24" i="150" s="1"/>
  <c r="AS24" i="150" s="1"/>
  <c r="AV24" i="150" s="1"/>
  <c r="AY24" i="150" s="1"/>
  <c r="BB24" i="150" s="1"/>
  <c r="BE24" i="150" s="1"/>
  <c r="BH24" i="150" s="1"/>
  <c r="BK24" i="150" s="1"/>
  <c r="BN24" i="150" s="1"/>
  <c r="BQ24" i="150" s="1"/>
  <c r="BT24" i="150" s="1"/>
  <c r="BW24" i="150" s="1"/>
  <c r="BZ24" i="150" s="1"/>
  <c r="CC24" i="150" s="1"/>
  <c r="CF24" i="150" s="1"/>
  <c r="CI24" i="150" s="1"/>
  <c r="CL24" i="150" s="1"/>
  <c r="CO24" i="150" s="1"/>
  <c r="CR24" i="150" s="1"/>
  <c r="CU24" i="150" s="1"/>
  <c r="CX44" i="150"/>
  <c r="CZ44" i="150" s="1"/>
  <c r="DB44" i="150"/>
  <c r="DE44" i="150" s="1"/>
  <c r="CX34" i="150"/>
  <c r="CZ34" i="150" s="1"/>
  <c r="DB34" i="150"/>
  <c r="DE34" i="150" s="1"/>
  <c r="DB61" i="150"/>
  <c r="DE61" i="150" s="1"/>
  <c r="CX61" i="150"/>
  <c r="CZ61" i="150" s="1"/>
  <c r="DB57" i="150"/>
  <c r="DE57" i="150" s="1"/>
  <c r="CX57" i="150"/>
  <c r="CZ57" i="150" s="1"/>
  <c r="CX43" i="150"/>
  <c r="CZ43" i="150" s="1"/>
  <c r="DB43" i="150"/>
  <c r="DE43" i="150" s="1"/>
  <c r="DB70" i="150"/>
  <c r="DE70" i="150" s="1"/>
  <c r="CX70" i="150"/>
  <c r="CZ70" i="150" s="1"/>
  <c r="DB45" i="150"/>
  <c r="DE45" i="150" s="1"/>
  <c r="CX45" i="150"/>
  <c r="CZ45" i="150" s="1"/>
  <c r="CX54" i="150"/>
  <c r="CZ54" i="150" s="1"/>
  <c r="DB54" i="150"/>
  <c r="DE54" i="150" s="1"/>
  <c r="CX38" i="150"/>
  <c r="CZ38" i="150" s="1"/>
  <c r="DB38" i="150"/>
  <c r="DE38" i="150" s="1"/>
  <c r="DB51" i="150"/>
  <c r="DE51" i="150" s="1"/>
  <c r="CX51" i="150"/>
  <c r="CZ51" i="150" s="1"/>
  <c r="CX62" i="150"/>
  <c r="CZ62" i="150" s="1"/>
  <c r="DB62" i="150"/>
  <c r="DE62" i="150" s="1"/>
  <c r="DB83" i="150"/>
  <c r="DE83" i="150" s="1"/>
  <c r="CX83" i="150"/>
  <c r="CZ83" i="150" s="1"/>
  <c r="CX25" i="150"/>
  <c r="CZ25" i="150" s="1"/>
  <c r="DB25" i="150"/>
  <c r="DE25" i="150" s="1"/>
  <c r="DB71" i="150"/>
  <c r="DE71" i="150" s="1"/>
  <c r="CX71" i="150"/>
  <c r="CZ71" i="150" s="1"/>
  <c r="DB74" i="150"/>
  <c r="DE74" i="150" s="1"/>
  <c r="CX74" i="150"/>
  <c r="CZ74" i="150" s="1"/>
  <c r="DB46" i="150"/>
  <c r="DE46" i="150" s="1"/>
  <c r="CX46" i="150"/>
  <c r="CZ46" i="150" s="1"/>
  <c r="DB55" i="150"/>
  <c r="DE55" i="150" s="1"/>
  <c r="CX55" i="150"/>
  <c r="CZ55" i="150" s="1"/>
  <c r="I50" i="150"/>
  <c r="L50" i="150" s="1"/>
  <c r="O50" i="150" s="1"/>
  <c r="R50" i="150" s="1"/>
  <c r="U50" i="150" s="1"/>
  <c r="X50" i="150" s="1"/>
  <c r="AA50" i="150" s="1"/>
  <c r="AD50" i="150" s="1"/>
  <c r="AG50" i="150" s="1"/>
  <c r="AJ50" i="150" s="1"/>
  <c r="AM50" i="150" s="1"/>
  <c r="AP50" i="150" s="1"/>
  <c r="AS50" i="150" s="1"/>
  <c r="AV50" i="150" s="1"/>
  <c r="AY50" i="150" s="1"/>
  <c r="BB50" i="150" s="1"/>
  <c r="BE50" i="150" s="1"/>
  <c r="BH50" i="150" s="1"/>
  <c r="BK50" i="150" s="1"/>
  <c r="BN50" i="150" s="1"/>
  <c r="BQ50" i="150" s="1"/>
  <c r="BT50" i="150" s="1"/>
  <c r="BW50" i="150" s="1"/>
  <c r="BZ50" i="150" s="1"/>
  <c r="CC50" i="150" s="1"/>
  <c r="CF50" i="150" s="1"/>
  <c r="CI50" i="150" s="1"/>
  <c r="CL50" i="150" s="1"/>
  <c r="CO50" i="150" s="1"/>
  <c r="CR50" i="150" s="1"/>
  <c r="CU50" i="150" s="1"/>
  <c r="CV50" i="150"/>
  <c r="I40" i="150"/>
  <c r="L40" i="150" s="1"/>
  <c r="O40" i="150" s="1"/>
  <c r="R40" i="150" s="1"/>
  <c r="U40" i="150" s="1"/>
  <c r="X40" i="150" s="1"/>
  <c r="AA40" i="150" s="1"/>
  <c r="AD40" i="150" s="1"/>
  <c r="AG40" i="150" s="1"/>
  <c r="AJ40" i="150" s="1"/>
  <c r="AM40" i="150" s="1"/>
  <c r="AP40" i="150" s="1"/>
  <c r="AS40" i="150" s="1"/>
  <c r="AV40" i="150" s="1"/>
  <c r="AY40" i="150" s="1"/>
  <c r="BB40" i="150" s="1"/>
  <c r="BE40" i="150" s="1"/>
  <c r="BH40" i="150" s="1"/>
  <c r="BK40" i="150" s="1"/>
  <c r="BN40" i="150" s="1"/>
  <c r="BQ40" i="150" s="1"/>
  <c r="BT40" i="150" s="1"/>
  <c r="BW40" i="150" s="1"/>
  <c r="BZ40" i="150" s="1"/>
  <c r="CC40" i="150" s="1"/>
  <c r="CF40" i="150" s="1"/>
  <c r="CI40" i="150" s="1"/>
  <c r="CL40" i="150" s="1"/>
  <c r="CO40" i="150" s="1"/>
  <c r="CR40" i="150" s="1"/>
  <c r="CU40" i="150" s="1"/>
  <c r="CX69" i="150"/>
  <c r="CZ69" i="150" s="1"/>
  <c r="DB69" i="150"/>
  <c r="DE69" i="150" s="1"/>
  <c r="DB89" i="150"/>
  <c r="DE89" i="150" s="1"/>
  <c r="CX89" i="150"/>
  <c r="CZ89" i="150" s="1"/>
  <c r="CW17" i="150"/>
  <c r="CW15" i="150"/>
  <c r="DB72" i="150"/>
  <c r="DE72" i="150" s="1"/>
  <c r="CX72" i="150"/>
  <c r="CZ72" i="150" s="1"/>
  <c r="DB64" i="150"/>
  <c r="DE64" i="150" s="1"/>
  <c r="CX64" i="150"/>
  <c r="CZ64" i="150" s="1"/>
  <c r="DB86" i="150"/>
  <c r="DE86" i="150" s="1"/>
  <c r="CW29" i="150"/>
  <c r="O35" i="150"/>
  <c r="R35" i="150" s="1"/>
  <c r="U35" i="150" s="1"/>
  <c r="X35" i="150" s="1"/>
  <c r="AA35" i="150" s="1"/>
  <c r="AD35" i="150" s="1"/>
  <c r="AG35" i="150" s="1"/>
  <c r="AJ35" i="150" s="1"/>
  <c r="AM35" i="150" s="1"/>
  <c r="AP35" i="150" s="1"/>
  <c r="AS35" i="150" s="1"/>
  <c r="AV35" i="150" s="1"/>
  <c r="AY35" i="150" s="1"/>
  <c r="BB35" i="150" s="1"/>
  <c r="BE35" i="150" s="1"/>
  <c r="BH35" i="150" s="1"/>
  <c r="BK35" i="150" s="1"/>
  <c r="BN35" i="150" s="1"/>
  <c r="BQ35" i="150" s="1"/>
  <c r="BT35" i="150" s="1"/>
  <c r="BW35" i="150" s="1"/>
  <c r="BZ35" i="150" s="1"/>
  <c r="CC35" i="150" s="1"/>
  <c r="CF35" i="150" s="1"/>
  <c r="CI35" i="150" s="1"/>
  <c r="CL35" i="150" s="1"/>
  <c r="CO35" i="150" s="1"/>
  <c r="CR35" i="150" s="1"/>
  <c r="CU35" i="150" s="1"/>
  <c r="AV48" i="150"/>
  <c r="AY48" i="150" s="1"/>
  <c r="BB48" i="150" s="1"/>
  <c r="BE48" i="150" s="1"/>
  <c r="BH48" i="150" s="1"/>
  <c r="BK48" i="150" s="1"/>
  <c r="BN48" i="150" s="1"/>
  <c r="BQ48" i="150" s="1"/>
  <c r="BT48" i="150" s="1"/>
  <c r="BW48" i="150" s="1"/>
  <c r="BZ48" i="150" s="1"/>
  <c r="CC48" i="150" s="1"/>
  <c r="CF48" i="150" s="1"/>
  <c r="CI48" i="150" s="1"/>
  <c r="CL48" i="150" s="1"/>
  <c r="CO48" i="150" s="1"/>
  <c r="CR48" i="150" s="1"/>
  <c r="CU48" i="150" s="1"/>
  <c r="DB79" i="150"/>
  <c r="DE79" i="150" s="1"/>
  <c r="CX79" i="150"/>
  <c r="CZ79" i="150" s="1"/>
  <c r="CV35" i="150"/>
  <c r="CX73" i="150"/>
  <c r="CZ73" i="150" s="1"/>
  <c r="DB73" i="150"/>
  <c r="DE73" i="150" s="1"/>
  <c r="CW16" i="150"/>
  <c r="I16" i="150"/>
  <c r="L16" i="150" s="1"/>
  <c r="O16" i="150" s="1"/>
  <c r="R16" i="150" s="1"/>
  <c r="U16" i="150" s="1"/>
  <c r="X16" i="150" s="1"/>
  <c r="AA16" i="150" s="1"/>
  <c r="AD16" i="150" s="1"/>
  <c r="AG16" i="150" s="1"/>
  <c r="AJ16" i="150" s="1"/>
  <c r="AM16" i="150" s="1"/>
  <c r="AP16" i="150" s="1"/>
  <c r="AS16" i="150" s="1"/>
  <c r="AV16" i="150" s="1"/>
  <c r="AY16" i="150" s="1"/>
  <c r="BB16" i="150" s="1"/>
  <c r="BE16" i="150" s="1"/>
  <c r="BH16" i="150" s="1"/>
  <c r="BK16" i="150" s="1"/>
  <c r="BN16" i="150" s="1"/>
  <c r="BQ16" i="150" s="1"/>
  <c r="BT16" i="150" s="1"/>
  <c r="BW16" i="150" s="1"/>
  <c r="BZ16" i="150" s="1"/>
  <c r="CC16" i="150" s="1"/>
  <c r="CF16" i="150" s="1"/>
  <c r="CI16" i="150" s="1"/>
  <c r="CL16" i="150" s="1"/>
  <c r="CO16" i="150" s="1"/>
  <c r="CR16" i="150" s="1"/>
  <c r="CU16" i="150" s="1"/>
  <c r="DB67" i="150"/>
  <c r="DE67" i="150" s="1"/>
  <c r="CX67" i="150"/>
  <c r="CZ67" i="150" s="1"/>
  <c r="CW13" i="150"/>
  <c r="CW25" i="150"/>
  <c r="CX84" i="150"/>
  <c r="CZ84" i="150" s="1"/>
  <c r="DB84" i="150"/>
  <c r="DE84" i="150" s="1"/>
  <c r="DB92" i="150"/>
  <c r="DE92" i="150" s="1"/>
  <c r="CX92" i="150"/>
  <c r="CZ92" i="150" s="1"/>
  <c r="CW27" i="150"/>
  <c r="DB82" i="150"/>
  <c r="DE82" i="150" s="1"/>
  <c r="CX82" i="150"/>
  <c r="CZ82" i="150" s="1"/>
  <c r="CW21" i="150"/>
  <c r="I27" i="150"/>
  <c r="L27" i="150" s="1"/>
  <c r="O27" i="150" s="1"/>
  <c r="R27" i="150" s="1"/>
  <c r="U27" i="150" s="1"/>
  <c r="X27" i="150" s="1"/>
  <c r="AA27" i="150" s="1"/>
  <c r="AD27" i="150" s="1"/>
  <c r="DB68" i="150"/>
  <c r="DE68" i="150" s="1"/>
  <c r="CX68" i="150"/>
  <c r="CZ68" i="150" s="1"/>
  <c r="CV21" i="150"/>
  <c r="I21" i="150"/>
  <c r="L21" i="150" s="1"/>
  <c r="O21" i="150" s="1"/>
  <c r="R21" i="150" s="1"/>
  <c r="U21" i="150" s="1"/>
  <c r="X21" i="150" s="1"/>
  <c r="AA21" i="150" s="1"/>
  <c r="AD21" i="150" s="1"/>
  <c r="AG21" i="150" s="1"/>
  <c r="AJ21" i="150" s="1"/>
  <c r="AM21" i="150" s="1"/>
  <c r="AP21" i="150" s="1"/>
  <c r="AS21" i="150" s="1"/>
  <c r="AV21" i="150" s="1"/>
  <c r="AY21" i="150" s="1"/>
  <c r="BB21" i="150" s="1"/>
  <c r="BE21" i="150" s="1"/>
  <c r="BH21" i="150" s="1"/>
  <c r="BK21" i="150" s="1"/>
  <c r="BN21" i="150" s="1"/>
  <c r="BQ21" i="150" s="1"/>
  <c r="BT21" i="150" s="1"/>
  <c r="BW21" i="150" s="1"/>
  <c r="BZ21" i="150" s="1"/>
  <c r="CC21" i="150" s="1"/>
  <c r="CF21" i="150" s="1"/>
  <c r="CI21" i="150" s="1"/>
  <c r="CL21" i="150" s="1"/>
  <c r="CO21" i="150" s="1"/>
  <c r="CR21" i="150" s="1"/>
  <c r="CU21" i="150" s="1"/>
  <c r="CW6" i="150"/>
  <c r="DB85" i="150"/>
  <c r="DE85" i="150" s="1"/>
  <c r="CX85" i="150"/>
  <c r="CZ85" i="150" s="1"/>
  <c r="DB93" i="150"/>
  <c r="DE93" i="150" s="1"/>
  <c r="CX93" i="150"/>
  <c r="CZ93" i="150" s="1"/>
  <c r="CW22" i="150"/>
  <c r="CV49" i="150"/>
  <c r="CW19" i="150"/>
  <c r="O36" i="150"/>
  <c r="R36" i="150" s="1"/>
  <c r="U36" i="150" s="1"/>
  <c r="X36" i="150" s="1"/>
  <c r="AA36" i="150" s="1"/>
  <c r="AD36" i="150" s="1"/>
  <c r="AG36" i="150" s="1"/>
  <c r="AJ36" i="150" s="1"/>
  <c r="AM36" i="150" s="1"/>
  <c r="AP36" i="150" s="1"/>
  <c r="AS36" i="150" s="1"/>
  <c r="AV36" i="150" s="1"/>
  <c r="AY36" i="150" s="1"/>
  <c r="BB36" i="150" s="1"/>
  <c r="BE36" i="150" s="1"/>
  <c r="BH36" i="150" s="1"/>
  <c r="BK36" i="150" s="1"/>
  <c r="BN36" i="150" s="1"/>
  <c r="BQ36" i="150" s="1"/>
  <c r="BT36" i="150" s="1"/>
  <c r="BW36" i="150" s="1"/>
  <c r="BZ36" i="150" s="1"/>
  <c r="CC36" i="150" s="1"/>
  <c r="CF36" i="150" s="1"/>
  <c r="CI36" i="150" s="1"/>
  <c r="CL36" i="150" s="1"/>
  <c r="CO36" i="150" s="1"/>
  <c r="CR36" i="150" s="1"/>
  <c r="CU36" i="150" s="1"/>
  <c r="CV39" i="150"/>
  <c r="DB75" i="150"/>
  <c r="DE75" i="150" s="1"/>
  <c r="CX75" i="150"/>
  <c r="CZ75" i="150" s="1"/>
  <c r="CW59" i="150"/>
  <c r="I59" i="150"/>
  <c r="L59" i="150" s="1"/>
  <c r="O59" i="150" s="1"/>
  <c r="R59" i="150" s="1"/>
  <c r="U59" i="150" s="1"/>
  <c r="X59" i="150" s="1"/>
  <c r="AA59" i="150" s="1"/>
  <c r="AD59" i="150" s="1"/>
  <c r="AG59" i="150" s="1"/>
  <c r="AJ59" i="150" s="1"/>
  <c r="AM59" i="150" s="1"/>
  <c r="AP59" i="150" s="1"/>
  <c r="AS59" i="150" s="1"/>
  <c r="AV59" i="150" s="1"/>
  <c r="AY59" i="150" s="1"/>
  <c r="BB59" i="150" s="1"/>
  <c r="BE59" i="150" s="1"/>
  <c r="BH59" i="150" s="1"/>
  <c r="BK59" i="150" s="1"/>
  <c r="BN59" i="150" s="1"/>
  <c r="BQ59" i="150" s="1"/>
  <c r="BT59" i="150" s="1"/>
  <c r="BW59" i="150" s="1"/>
  <c r="BZ59" i="150" s="1"/>
  <c r="CC59" i="150" s="1"/>
  <c r="CF59" i="150" s="1"/>
  <c r="CI59" i="150" s="1"/>
  <c r="CL59" i="150" s="1"/>
  <c r="CO59" i="150" s="1"/>
  <c r="CR59" i="150" s="1"/>
  <c r="CU59" i="150" s="1"/>
  <c r="CW65" i="150"/>
  <c r="BQ76" i="150"/>
  <c r="BT76" i="150" s="1"/>
  <c r="BW76" i="150" s="1"/>
  <c r="BZ76" i="150" s="1"/>
  <c r="CC76" i="150" s="1"/>
  <c r="CF76" i="150" s="1"/>
  <c r="CI76" i="150" s="1"/>
  <c r="CL76" i="150" s="1"/>
  <c r="CO76" i="150" s="1"/>
  <c r="CR76" i="150" s="1"/>
  <c r="CU76" i="150" s="1"/>
  <c r="CV53" i="150"/>
  <c r="DB90" i="150"/>
  <c r="DE90" i="150" s="1"/>
  <c r="CX90" i="150"/>
  <c r="CZ90" i="150" s="1"/>
  <c r="DB87" i="150"/>
  <c r="DE87" i="150" s="1"/>
  <c r="CX87" i="150"/>
  <c r="CZ87" i="150" s="1"/>
  <c r="DB91" i="150"/>
  <c r="DE91" i="150" s="1"/>
  <c r="CX91" i="150"/>
  <c r="CZ91" i="150" s="1"/>
  <c r="CV32" i="150"/>
  <c r="CW18" i="150"/>
  <c r="DB80" i="150"/>
  <c r="DE80" i="150" s="1"/>
  <c r="CX80" i="150"/>
  <c r="CZ80" i="150" s="1"/>
  <c r="DB88" i="150"/>
  <c r="DE88" i="150" s="1"/>
  <c r="CX88" i="150"/>
  <c r="CZ88" i="150" s="1"/>
  <c r="CW47" i="150"/>
  <c r="CW60" i="150"/>
  <c r="CV65" i="150"/>
  <c r="CV59" i="150"/>
  <c r="O60" i="150"/>
  <c r="R60" i="150" s="1"/>
  <c r="U60" i="150" s="1"/>
  <c r="X60" i="150" s="1"/>
  <c r="AA60" i="150" s="1"/>
  <c r="AD60" i="150" s="1"/>
  <c r="AG60" i="150" s="1"/>
  <c r="AJ60" i="150" s="1"/>
  <c r="AM60" i="150" s="1"/>
  <c r="AP60" i="150" s="1"/>
  <c r="AS60" i="150" s="1"/>
  <c r="AV60" i="150" s="1"/>
  <c r="AY60" i="150" s="1"/>
  <c r="BB60" i="150" s="1"/>
  <c r="BE60" i="150" s="1"/>
  <c r="BH60" i="150" s="1"/>
  <c r="BK60" i="150" s="1"/>
  <c r="BN60" i="150" s="1"/>
  <c r="BQ60" i="150" s="1"/>
  <c r="BT60" i="150" s="1"/>
  <c r="BW60" i="150" s="1"/>
  <c r="BZ60" i="150" s="1"/>
  <c r="CC60" i="150" s="1"/>
  <c r="CF60" i="150" s="1"/>
  <c r="CI60" i="150" s="1"/>
  <c r="CL60" i="150" s="1"/>
  <c r="CO60" i="150" s="1"/>
  <c r="CR60" i="150" s="1"/>
  <c r="CU60" i="150" s="1"/>
  <c r="CW76" i="150"/>
  <c r="CW83" i="150"/>
  <c r="O65" i="150"/>
  <c r="R65" i="150" s="1"/>
  <c r="U65" i="150" s="1"/>
  <c r="X65" i="150" s="1"/>
  <c r="AA65" i="150" s="1"/>
  <c r="AD65" i="150" s="1"/>
  <c r="AG65" i="150" s="1"/>
  <c r="AJ65" i="150" s="1"/>
  <c r="AM65" i="150" s="1"/>
  <c r="AP65" i="150" s="1"/>
  <c r="AS65" i="150" s="1"/>
  <c r="AV65" i="150" s="1"/>
  <c r="AY65" i="150" s="1"/>
  <c r="BB65" i="150" s="1"/>
  <c r="BE65" i="150" s="1"/>
  <c r="BH65" i="150" s="1"/>
  <c r="BK65" i="150" s="1"/>
  <c r="BN65" i="150" s="1"/>
  <c r="BQ65" i="150" s="1"/>
  <c r="BT65" i="150" s="1"/>
  <c r="BW65" i="150" s="1"/>
  <c r="BZ65" i="150" s="1"/>
  <c r="CC65" i="150" s="1"/>
  <c r="CF65" i="150" s="1"/>
  <c r="CI65" i="150" s="1"/>
  <c r="CL65" i="150" s="1"/>
  <c r="CO65" i="150" s="1"/>
  <c r="CR65" i="150" s="1"/>
  <c r="CU65" i="150" s="1"/>
  <c r="CW82" i="150"/>
  <c r="CV60" i="150"/>
  <c r="CW63" i="150"/>
  <c r="CV76" i="150"/>
  <c r="CW77" i="150"/>
  <c r="I77" i="150"/>
  <c r="L77" i="150" s="1"/>
  <c r="O77" i="150" s="1"/>
  <c r="R77" i="150" s="1"/>
  <c r="U77" i="150" s="1"/>
  <c r="X77" i="150" s="1"/>
  <c r="AA77" i="150" s="1"/>
  <c r="AD77" i="150" s="1"/>
  <c r="AG77" i="150" s="1"/>
  <c r="AJ77" i="150" s="1"/>
  <c r="AM77" i="150" s="1"/>
  <c r="AP77" i="150" s="1"/>
  <c r="AS77" i="150" s="1"/>
  <c r="AV77" i="150" s="1"/>
  <c r="AY77" i="150" s="1"/>
  <c r="BB77" i="150" s="1"/>
  <c r="BE77" i="150" s="1"/>
  <c r="BH77" i="150" s="1"/>
  <c r="BK77" i="150" s="1"/>
  <c r="BN77" i="150" s="1"/>
  <c r="BQ77" i="150" s="1"/>
  <c r="BT77" i="150" s="1"/>
  <c r="BW77" i="150" s="1"/>
  <c r="BZ77" i="150" s="1"/>
  <c r="CC77" i="150" s="1"/>
  <c r="CF77" i="150" s="1"/>
  <c r="CI77" i="150" s="1"/>
  <c r="CL77" i="150" s="1"/>
  <c r="CO77" i="150" s="1"/>
  <c r="CR77" i="150" s="1"/>
  <c r="CU77" i="150" s="1"/>
  <c r="CN76" i="146"/>
  <c r="CN63" i="146"/>
  <c r="CN59" i="146"/>
  <c r="CN17" i="146"/>
  <c r="CN29" i="146"/>
  <c r="CN39" i="146"/>
  <c r="CN12" i="146"/>
  <c r="CC17" i="150" l="1"/>
  <c r="CF17" i="150" s="1"/>
  <c r="CI17" i="150" s="1"/>
  <c r="CL17" i="150" s="1"/>
  <c r="CO17" i="150" s="1"/>
  <c r="CR17" i="150" s="1"/>
  <c r="CU17" i="150" s="1"/>
  <c r="AG27" i="150"/>
  <c r="AJ27" i="150" s="1"/>
  <c r="AM27" i="150" s="1"/>
  <c r="AP27" i="150" s="1"/>
  <c r="AS27" i="150" s="1"/>
  <c r="AV27" i="150" s="1"/>
  <c r="AY27" i="150" s="1"/>
  <c r="BB27" i="150" s="1"/>
  <c r="BE27" i="150" s="1"/>
  <c r="BH27" i="150" s="1"/>
  <c r="BK27" i="150" s="1"/>
  <c r="BN27" i="150" s="1"/>
  <c r="BQ27" i="150" s="1"/>
  <c r="BT27" i="150" s="1"/>
  <c r="BW27" i="150" s="1"/>
  <c r="BZ27" i="150" s="1"/>
  <c r="CC27" i="150" s="1"/>
  <c r="CF27" i="150" s="1"/>
  <c r="CI27" i="150" s="1"/>
  <c r="CL27" i="150" s="1"/>
  <c r="CO27" i="150" s="1"/>
  <c r="CR27" i="150" s="1"/>
  <c r="CU27" i="150" s="1"/>
  <c r="CX27" i="150" s="1"/>
  <c r="CZ27" i="150" s="1"/>
  <c r="DB16" i="150"/>
  <c r="DE16" i="150" s="1"/>
  <c r="CX16" i="150"/>
  <c r="CZ16" i="150" s="1"/>
  <c r="CX59" i="150"/>
  <c r="CZ59" i="150" s="1"/>
  <c r="DB59" i="150"/>
  <c r="DE59" i="150" s="1"/>
  <c r="CX77" i="150"/>
  <c r="CZ77" i="150" s="1"/>
  <c r="DB77" i="150"/>
  <c r="DE77" i="150" s="1"/>
  <c r="DB36" i="150"/>
  <c r="DE36" i="150" s="1"/>
  <c r="CX36" i="150"/>
  <c r="CZ36" i="150" s="1"/>
  <c r="DB50" i="150"/>
  <c r="DE50" i="150" s="1"/>
  <c r="CX50" i="150"/>
  <c r="CZ50" i="150" s="1"/>
  <c r="CX29" i="150"/>
  <c r="CZ29" i="150" s="1"/>
  <c r="DB29" i="150"/>
  <c r="DE29" i="150" s="1"/>
  <c r="DB35" i="150"/>
  <c r="DE35" i="150" s="1"/>
  <c r="CX35" i="150"/>
  <c r="CZ35" i="150" s="1"/>
  <c r="DB65" i="150"/>
  <c r="DE65" i="150" s="1"/>
  <c r="CX65" i="150"/>
  <c r="CZ65" i="150" s="1"/>
  <c r="DB40" i="150"/>
  <c r="DE40" i="150" s="1"/>
  <c r="CX40" i="150"/>
  <c r="CZ40" i="150" s="1"/>
  <c r="CX48" i="150"/>
  <c r="CZ48" i="150" s="1"/>
  <c r="DB48" i="150"/>
  <c r="DE48" i="150" s="1"/>
  <c r="DB24" i="150"/>
  <c r="DE24" i="150" s="1"/>
  <c r="CX24" i="150"/>
  <c r="CZ24" i="150" s="1"/>
  <c r="CX60" i="150"/>
  <c r="CZ60" i="150" s="1"/>
  <c r="DB60" i="150"/>
  <c r="DE60" i="150" s="1"/>
  <c r="DB76" i="150"/>
  <c r="DE76" i="150" s="1"/>
  <c r="CX76" i="150"/>
  <c r="CZ76" i="150" s="1"/>
  <c r="DB21" i="150"/>
  <c r="DE21" i="150" s="1"/>
  <c r="CX21" i="150"/>
  <c r="CZ21" i="150" s="1"/>
  <c r="CJ15" i="146"/>
  <c r="CJ18" i="146"/>
  <c r="CN16" i="146"/>
  <c r="CK80" i="146"/>
  <c r="CK77" i="146"/>
  <c r="CK60" i="146"/>
  <c r="CK59" i="146"/>
  <c r="CK40" i="146"/>
  <c r="CK39" i="146"/>
  <c r="CK29" i="146"/>
  <c r="CK27" i="146"/>
  <c r="CK22" i="146"/>
  <c r="CK15" i="146"/>
  <c r="CK6" i="146"/>
  <c r="CK18" i="146"/>
  <c r="CK63" i="146"/>
  <c r="CJ76" i="146"/>
  <c r="CJ17" i="146"/>
  <c r="CK83" i="146"/>
  <c r="CK76" i="146"/>
  <c r="CK17" i="146"/>
  <c r="CK12" i="146"/>
  <c r="CK32" i="146"/>
  <c r="CK21" i="146"/>
  <c r="DB17" i="150" l="1"/>
  <c r="DE17" i="150" s="1"/>
  <c r="CX17" i="150"/>
  <c r="CZ17" i="150" s="1"/>
  <c r="DB27" i="150"/>
  <c r="DE27" i="150" s="1"/>
  <c r="BY40" i="146"/>
  <c r="CB25" i="146"/>
  <c r="CH16" i="146"/>
  <c r="CG76" i="146"/>
  <c r="CH76" i="146"/>
  <c r="BY23" i="146"/>
  <c r="CB23" i="146"/>
  <c r="CH23" i="146"/>
  <c r="CH40" i="146"/>
  <c r="CH25" i="146"/>
  <c r="CH15" i="146"/>
  <c r="CH14" i="146"/>
  <c r="CH27" i="146"/>
  <c r="CH80" i="146"/>
  <c r="CH58" i="146"/>
  <c r="CH48" i="146"/>
  <c r="CH77" i="146"/>
  <c r="CH60" i="146"/>
  <c r="CH22" i="146"/>
  <c r="CH6" i="146"/>
  <c r="CH18" i="146"/>
  <c r="CH65" i="146"/>
  <c r="CH32" i="146"/>
  <c r="CH13" i="146"/>
  <c r="CG36" i="146"/>
  <c r="CG29" i="146"/>
  <c r="CG21" i="146"/>
  <c r="CG17" i="146"/>
  <c r="CH83" i="146" l="1"/>
  <c r="CH63" i="146"/>
  <c r="CH59" i="146"/>
  <c r="CH17" i="146"/>
  <c r="CH29" i="146"/>
  <c r="CH39" i="146"/>
  <c r="CH12" i="146"/>
  <c r="CH21" i="146"/>
  <c r="CB35" i="146"/>
  <c r="CB36" i="146"/>
  <c r="CA60" i="146"/>
  <c r="CA15" i="146"/>
  <c r="CA76" i="146"/>
  <c r="CB77" i="146"/>
  <c r="CB80" i="146"/>
  <c r="CB60" i="146"/>
  <c r="CB76" i="146"/>
  <c r="CB40" i="146"/>
  <c r="CB27" i="146"/>
  <c r="CB22" i="146"/>
  <c r="CB15" i="146"/>
  <c r="CB14" i="146"/>
  <c r="CB29" i="146"/>
  <c r="CB47" i="146"/>
  <c r="CB39" i="146"/>
  <c r="CB16" i="146"/>
  <c r="CB6" i="146"/>
  <c r="CB43" i="146"/>
  <c r="CB48" i="146"/>
  <c r="CB13" i="146"/>
  <c r="CB65" i="146"/>
  <c r="CE47" i="146"/>
  <c r="CE76" i="146"/>
  <c r="CE29" i="146"/>
  <c r="CE39" i="146"/>
  <c r="CB58" i="146"/>
  <c r="CB32" i="146"/>
  <c r="CB59" i="146"/>
  <c r="CB18" i="146"/>
  <c r="CA35" i="146"/>
  <c r="CA59" i="146"/>
  <c r="CA50" i="146"/>
  <c r="CA39" i="146"/>
  <c r="CA29" i="146"/>
  <c r="CA17" i="146"/>
  <c r="CB83" i="146" l="1"/>
  <c r="CB82" i="146"/>
  <c r="CB63" i="146"/>
  <c r="CB17" i="146"/>
  <c r="CB12" i="146"/>
  <c r="CB21" i="146"/>
  <c r="CB28" i="146"/>
  <c r="BY32" i="146"/>
  <c r="BY29" i="146"/>
  <c r="BY16" i="146"/>
  <c r="BY47" i="146"/>
  <c r="BY27" i="146"/>
  <c r="BY60" i="146"/>
  <c r="BY58" i="146"/>
  <c r="BY15" i="146"/>
  <c r="BY77" i="146"/>
  <c r="BY18" i="146"/>
  <c r="BY14" i="146"/>
  <c r="BY59" i="146"/>
  <c r="BY48" i="146"/>
  <c r="BY25" i="146"/>
  <c r="BX76" i="146"/>
  <c r="BX50" i="146"/>
  <c r="BX35" i="146"/>
  <c r="BX32" i="146"/>
  <c r="BX29" i="146"/>
  <c r="BX21" i="146"/>
  <c r="BX17" i="146"/>
  <c r="BS59" i="146" l="1"/>
  <c r="BY63" i="146"/>
  <c r="BY53" i="146" l="1"/>
  <c r="BS32" i="146"/>
  <c r="BS27" i="146"/>
  <c r="BS22" i="146"/>
  <c r="BS24" i="146"/>
  <c r="BS47" i="146"/>
  <c r="BS40" i="146"/>
  <c r="BS58" i="146"/>
  <c r="BS16" i="146"/>
  <c r="BS19" i="146"/>
  <c r="BS14" i="146"/>
  <c r="BS76" i="146"/>
  <c r="BS17" i="146"/>
  <c r="BS29" i="146"/>
  <c r="BS12" i="146"/>
  <c r="BP48" i="146"/>
  <c r="BS48" i="146"/>
  <c r="BS60" i="146"/>
  <c r="BS15" i="146"/>
  <c r="BP58" i="146"/>
  <c r="BS77" i="146"/>
  <c r="BS23" i="146"/>
  <c r="BS18" i="146"/>
  <c r="BS65" i="146"/>
  <c r="BS25" i="146"/>
  <c r="BR76" i="146"/>
  <c r="BR53" i="146"/>
  <c r="BR39" i="146"/>
  <c r="BR36" i="146"/>
  <c r="BR32" i="146"/>
  <c r="BR29" i="146"/>
  <c r="BR17" i="146"/>
  <c r="BR12" i="146"/>
  <c r="BS83" i="146" l="1"/>
  <c r="BS63" i="146"/>
  <c r="BS39" i="146"/>
  <c r="BS6" i="146"/>
  <c r="BP60" i="146"/>
  <c r="BP16" i="146"/>
  <c r="H22" i="146"/>
  <c r="BM13" i="146"/>
  <c r="BO29" i="146"/>
  <c r="BO17" i="146"/>
  <c r="BO76" i="146"/>
  <c r="BO32" i="146"/>
  <c r="BO21" i="146"/>
  <c r="BO12" i="146"/>
  <c r="BP83" i="146"/>
  <c r="BP76" i="146"/>
  <c r="BP63" i="146"/>
  <c r="BP59" i="146"/>
  <c r="BP17" i="146"/>
  <c r="BP29" i="146"/>
  <c r="BP12" i="146"/>
  <c r="BP32" i="146"/>
  <c r="BM21" i="146"/>
  <c r="BM32" i="146"/>
  <c r="BM12" i="146"/>
  <c r="BM39" i="146"/>
  <c r="BM29" i="146"/>
  <c r="BM17" i="146"/>
  <c r="BM59" i="146"/>
  <c r="BM63" i="146"/>
  <c r="BM76" i="146"/>
  <c r="BM83" i="146"/>
  <c r="BF15" i="146"/>
  <c r="BG48" i="146"/>
  <c r="BM48" i="146"/>
  <c r="BP28" i="146"/>
  <c r="BP23" i="146"/>
  <c r="BF32" i="146"/>
  <c r="BM16" i="146" l="1"/>
  <c r="BG47" i="146"/>
  <c r="BF29" i="146"/>
  <c r="BG22" i="146"/>
  <c r="BG27" i="146"/>
  <c r="BG40" i="146"/>
  <c r="BG15" i="146"/>
  <c r="BG65" i="146"/>
  <c r="BG60" i="146"/>
  <c r="BG59" i="146"/>
  <c r="BG16" i="146"/>
  <c r="BG14" i="146"/>
  <c r="BG18" i="146"/>
  <c r="BG80" i="146"/>
  <c r="BG25" i="146"/>
  <c r="BG77" i="146"/>
  <c r="BG35" i="146"/>
  <c r="BG13" i="146"/>
  <c r="BG6" i="146"/>
  <c r="BG39" i="146"/>
  <c r="BM40" i="146"/>
  <c r="F2" i="147"/>
  <c r="BD60" i="146"/>
  <c r="BD40" i="146"/>
  <c r="BD27" i="146"/>
  <c r="BD22" i="146"/>
  <c r="BD65" i="146" l="1"/>
  <c r="BF35" i="146"/>
  <c r="BF50" i="146"/>
  <c r="BD47" i="146"/>
  <c r="BF76" i="146"/>
  <c r="BF59" i="146"/>
  <c r="BF39" i="146"/>
  <c r="BF36" i="146"/>
  <c r="BF17" i="146"/>
  <c r="BF16" i="146"/>
  <c r="BG83" i="146"/>
  <c r="BG82" i="146"/>
  <c r="BG76" i="146"/>
  <c r="BG63" i="146"/>
  <c r="BG17" i="146"/>
  <c r="BG29" i="146"/>
  <c r="BG12" i="146"/>
  <c r="BG32" i="146"/>
  <c r="BG23" i="146"/>
  <c r="BG28" i="146"/>
  <c r="BD16" i="146"/>
  <c r="BD29" i="146"/>
  <c r="BC29" i="146"/>
  <c r="BD14" i="146"/>
  <c r="BG21" i="146"/>
  <c r="BD23" i="146"/>
  <c r="BD15" i="146"/>
  <c r="BD59" i="146"/>
  <c r="BC36" i="146"/>
  <c r="BD36" i="146"/>
  <c r="BD58" i="146"/>
  <c r="BD32" i="146"/>
  <c r="BD77" i="146"/>
  <c r="AW29" i="146" l="1"/>
  <c r="BC76" i="146"/>
  <c r="BC21" i="146"/>
  <c r="BC17" i="146"/>
  <c r="BD25" i="146"/>
  <c r="BD83" i="146"/>
  <c r="BD76" i="146"/>
  <c r="BD63" i="146"/>
  <c r="BD17" i="146"/>
  <c r="BD12" i="146"/>
  <c r="AX13" i="146"/>
  <c r="AX25" i="146"/>
  <c r="AX58" i="146"/>
  <c r="AX16" i="146"/>
  <c r="AX23" i="146"/>
  <c r="AX15" i="146"/>
  <c r="AX60" i="146"/>
  <c r="AX40" i="146"/>
  <c r="AX14" i="146"/>
  <c r="AX6" i="146"/>
  <c r="AX27" i="146"/>
  <c r="AX77" i="146"/>
  <c r="AX48" i="146"/>
  <c r="AX39" i="146"/>
  <c r="AX22" i="146"/>
  <c r="AX59" i="146"/>
  <c r="AW76" i="146"/>
  <c r="AW32" i="146"/>
  <c r="AW21" i="146"/>
  <c r="AW17" i="146"/>
  <c r="AW12" i="146"/>
  <c r="AX83" i="146"/>
  <c r="AX76" i="146"/>
  <c r="AX63" i="146"/>
  <c r="AX17" i="146"/>
  <c r="AX29" i="146"/>
  <c r="AX12" i="146"/>
  <c r="AX32" i="146"/>
  <c r="AX53" i="146" l="1"/>
  <c r="AU77" i="146"/>
  <c r="AU40" i="146"/>
  <c r="AU32" i="146"/>
  <c r="AU15" i="146"/>
  <c r="AU22" i="146"/>
  <c r="AU16" i="146"/>
  <c r="AU58" i="146"/>
  <c r="AU27" i="146"/>
  <c r="AU43" i="146"/>
  <c r="AU25" i="146"/>
  <c r="AU18" i="146"/>
  <c r="AU48" i="146"/>
  <c r="AU6" i="146"/>
  <c r="AT76" i="146"/>
  <c r="AT29" i="146"/>
  <c r="AT17" i="146"/>
  <c r="AU76" i="146" l="1"/>
  <c r="AU63" i="146"/>
  <c r="AU59" i="146"/>
  <c r="AU17" i="146"/>
  <c r="AU29" i="146"/>
  <c r="AU39" i="146"/>
  <c r="AU12" i="146"/>
  <c r="AR36" i="146"/>
  <c r="AU60" i="146"/>
  <c r="AQ76" i="146"/>
  <c r="AR16" i="146"/>
  <c r="Z13" i="146" l="1"/>
  <c r="AR40" i="146"/>
  <c r="AR27" i="146"/>
  <c r="AR23" i="146"/>
  <c r="AR22" i="146"/>
  <c r="AR71" i="146"/>
  <c r="AR14" i="146"/>
  <c r="AR65" i="146"/>
  <c r="AR15" i="146"/>
  <c r="AR60" i="146"/>
  <c r="AR80" i="146"/>
  <c r="AR58" i="146"/>
  <c r="AR48" i="146"/>
  <c r="AR77" i="146"/>
  <c r="AR25" i="146"/>
  <c r="AR18" i="146"/>
  <c r="AR13" i="146"/>
  <c r="AK39" i="146"/>
  <c r="AH39" i="146"/>
  <c r="AL35" i="146" l="1"/>
  <c r="AR83" i="146" l="1"/>
  <c r="AR82" i="146"/>
  <c r="AR76" i="146"/>
  <c r="AR63" i="146"/>
  <c r="AR59" i="146"/>
  <c r="AR17" i="146"/>
  <c r="AR29" i="146"/>
  <c r="AR12" i="146"/>
  <c r="AR32" i="146"/>
  <c r="AL18" i="146" l="1"/>
  <c r="AL14" i="146"/>
  <c r="AN60" i="146"/>
  <c r="AL40" i="146"/>
  <c r="AL27" i="146"/>
  <c r="AL23" i="146"/>
  <c r="AL15" i="146"/>
  <c r="AL58" i="146"/>
  <c r="AL43" i="146"/>
  <c r="AL60" i="146"/>
  <c r="AL77" i="146"/>
  <c r="AL16" i="146"/>
  <c r="AL25" i="146"/>
  <c r="AL65" i="146"/>
  <c r="AL48" i="146"/>
  <c r="AL6" i="146"/>
  <c r="AL32" i="146"/>
  <c r="AL39" i="146"/>
  <c r="AL22" i="146"/>
  <c r="AI36" i="146"/>
  <c r="AH65" i="146"/>
  <c r="AK17" i="146" l="1"/>
  <c r="AK76" i="146"/>
  <c r="AK32" i="146"/>
  <c r="AK29" i="146"/>
  <c r="AK12" i="146"/>
  <c r="AL76" i="146" l="1"/>
  <c r="AL82" i="146"/>
  <c r="AL63" i="146"/>
  <c r="AL59" i="146"/>
  <c r="AL17" i="146"/>
  <c r="AL29" i="146"/>
  <c r="AL12" i="146"/>
  <c r="AI14" i="146"/>
  <c r="AI29" i="146"/>
  <c r="AI32" i="146"/>
  <c r="AI76" i="146"/>
  <c r="AI65" i="146"/>
  <c r="AI15" i="146"/>
  <c r="AI43" i="146"/>
  <c r="AI16" i="146"/>
  <c r="AI22" i="146"/>
  <c r="Q19" i="146"/>
  <c r="AI27" i="146"/>
  <c r="AI23" i="146"/>
  <c r="AI40" i="146"/>
  <c r="AI71" i="146"/>
  <c r="AI77" i="146"/>
  <c r="AI60" i="146"/>
  <c r="AI59" i="146"/>
  <c r="AI39" i="146"/>
  <c r="AI6" i="146"/>
  <c r="AH76" i="146"/>
  <c r="AH32" i="146"/>
  <c r="AH29" i="146"/>
  <c r="AH17" i="146"/>
  <c r="AI83" i="146" l="1"/>
  <c r="AI63" i="146"/>
  <c r="AI12" i="146"/>
  <c r="AC32" i="146"/>
  <c r="AC15" i="146"/>
  <c r="AC65" i="146"/>
  <c r="AC48" i="146"/>
  <c r="AC40" i="146"/>
  <c r="AC27" i="146"/>
  <c r="AC22" i="146"/>
  <c r="AC60" i="146"/>
  <c r="AC25" i="146"/>
  <c r="AC16" i="146"/>
  <c r="AC14" i="146"/>
  <c r="AC24" i="146"/>
  <c r="AC58" i="146"/>
  <c r="AC6" i="146"/>
  <c r="AC47" i="146"/>
  <c r="AC43" i="146"/>
  <c r="AC77" i="146"/>
  <c r="AC18" i="146"/>
  <c r="AC59" i="146"/>
  <c r="Z16" i="146"/>
  <c r="AB76" i="146"/>
  <c r="AB32" i="146"/>
  <c r="AB29" i="146"/>
  <c r="AB17" i="146"/>
  <c r="AC83" i="146"/>
  <c r="AC76" i="146"/>
  <c r="AC63" i="146"/>
  <c r="AC17" i="146"/>
  <c r="AC29" i="146"/>
  <c r="AC39" i="146"/>
  <c r="AC21" i="146"/>
  <c r="Z29" i="146"/>
  <c r="Z76" i="146"/>
  <c r="Z65" i="146"/>
  <c r="Z47" i="146"/>
  <c r="Z14" i="146"/>
  <c r="Z35" i="146"/>
  <c r="Z50" i="146"/>
  <c r="AC36" i="146"/>
  <c r="AC50" i="146"/>
  <c r="AC53" i="146"/>
  <c r="AC35" i="146"/>
  <c r="AC13" i="146"/>
  <c r="AC82" i="146"/>
  <c r="Z40" i="146"/>
  <c r="Z27" i="146"/>
  <c r="Z25" i="146"/>
  <c r="Z22" i="146"/>
  <c r="Z77" i="146"/>
  <c r="Z71" i="146"/>
  <c r="Z58" i="146"/>
  <c r="Z15" i="146"/>
  <c r="Z60" i="146"/>
  <c r="Z18" i="146"/>
  <c r="W27" i="146"/>
  <c r="W28" i="146"/>
  <c r="Z28" i="146"/>
  <c r="Y76" i="146"/>
  <c r="Y32" i="146"/>
  <c r="Y29" i="146"/>
  <c r="Y17" i="146"/>
  <c r="Z83" i="146" l="1"/>
  <c r="Z63" i="146"/>
  <c r="Z59" i="146"/>
  <c r="Z17" i="146"/>
  <c r="Z12" i="146"/>
  <c r="W43" i="146"/>
  <c r="W6" i="146"/>
  <c r="W16" i="146"/>
  <c r="W23" i="146"/>
  <c r="W71" i="146"/>
  <c r="W40" i="146"/>
  <c r="W22" i="146"/>
  <c r="W32" i="146"/>
  <c r="W80" i="146"/>
  <c r="W60" i="146"/>
  <c r="W14" i="146"/>
  <c r="W77" i="146"/>
  <c r="W58" i="146"/>
  <c r="W15" i="146"/>
  <c r="W18" i="146"/>
  <c r="W25" i="146"/>
  <c r="V65" i="146"/>
  <c r="V50" i="146"/>
  <c r="V36" i="146"/>
  <c r="V35" i="146"/>
  <c r="V29" i="146"/>
  <c r="V6" i="146"/>
  <c r="W83" i="146" l="1"/>
  <c r="W76" i="146"/>
  <c r="W63" i="146"/>
  <c r="W59" i="146"/>
  <c r="W17" i="146"/>
  <c r="W29" i="146"/>
  <c r="W12" i="146"/>
  <c r="W21" i="146"/>
  <c r="W65" i="146"/>
  <c r="Q27" i="146"/>
  <c r="Q40" i="146"/>
  <c r="Q15" i="146"/>
  <c r="Q14" i="146"/>
  <c r="Q58" i="146"/>
  <c r="Q60" i="146"/>
  <c r="Q59" i="146"/>
  <c r="Q25" i="146"/>
  <c r="Q16" i="146"/>
  <c r="Q65" i="146"/>
  <c r="Q39" i="146"/>
  <c r="Q22" i="146"/>
  <c r="Q77" i="146"/>
  <c r="Q13" i="146"/>
  <c r="Q43" i="146"/>
  <c r="Q48" i="146"/>
  <c r="Q29" i="146"/>
  <c r="Q6" i="146"/>
  <c r="Q71" i="146"/>
  <c r="W39" i="146"/>
  <c r="W13" i="146"/>
  <c r="Q36" i="146"/>
  <c r="Q32" i="146"/>
  <c r="Q18" i="146"/>
  <c r="P60" i="146"/>
  <c r="P17" i="146"/>
  <c r="Q83" i="146" l="1"/>
  <c r="Q76" i="146"/>
  <c r="Q63" i="146"/>
  <c r="Q17" i="146"/>
  <c r="Q12" i="146"/>
  <c r="Q21" i="146"/>
  <c r="M60" i="146" l="1"/>
  <c r="N27" i="146"/>
  <c r="N65" i="146"/>
  <c r="N29" i="146"/>
  <c r="N12" i="146"/>
  <c r="N23" i="146"/>
  <c r="N15" i="146"/>
  <c r="N60" i="146"/>
  <c r="N40" i="146"/>
  <c r="N22" i="146"/>
  <c r="N14" i="146"/>
  <c r="N59" i="146"/>
  <c r="N36" i="146"/>
  <c r="N77" i="146"/>
  <c r="N25" i="146"/>
  <c r="N18" i="146"/>
  <c r="N13" i="146"/>
  <c r="N6" i="146"/>
  <c r="M50" i="146"/>
  <c r="M35" i="146"/>
  <c r="M76" i="146"/>
  <c r="M65" i="146"/>
  <c r="M59" i="146"/>
  <c r="M32" i="146"/>
  <c r="M29" i="146"/>
  <c r="M17" i="146"/>
  <c r="M16" i="146"/>
  <c r="N16" i="146"/>
  <c r="N83" i="146"/>
  <c r="N76" i="146"/>
  <c r="N63" i="146"/>
  <c r="N17" i="146"/>
  <c r="N39" i="146"/>
  <c r="N32" i="146"/>
  <c r="N21" i="146"/>
  <c r="G76" i="146"/>
  <c r="G17" i="146"/>
  <c r="H65" i="146"/>
  <c r="H15" i="146"/>
  <c r="H32" i="146"/>
  <c r="H40" i="146"/>
  <c r="H19" i="146"/>
  <c r="H58" i="146"/>
  <c r="H16" i="146"/>
  <c r="H43" i="146"/>
  <c r="H60" i="146"/>
  <c r="H59" i="146"/>
  <c r="H14" i="146"/>
  <c r="H27" i="146"/>
  <c r="H25" i="146"/>
  <c r="H18" i="146"/>
  <c r="H77" i="146"/>
  <c r="H6" i="146"/>
  <c r="G65" i="146"/>
  <c r="G63" i="146"/>
  <c r="G60" i="146"/>
  <c r="G59" i="146"/>
  <c r="G53" i="146"/>
  <c r="G50" i="146"/>
  <c r="G49" i="146"/>
  <c r="G39" i="146"/>
  <c r="G35" i="146"/>
  <c r="G32" i="146"/>
  <c r="G29" i="146"/>
  <c r="G21" i="146"/>
  <c r="G12" i="146"/>
  <c r="H83" i="146" l="1"/>
  <c r="H76" i="146"/>
  <c r="H63" i="146"/>
  <c r="H17" i="146"/>
  <c r="H39" i="146"/>
  <c r="H12" i="146"/>
  <c r="CK36" i="143" l="1"/>
  <c r="H29" i="146"/>
  <c r="H48" i="146"/>
  <c r="CJ63" i="143"/>
  <c r="DD27" i="143"/>
  <c r="DD77" i="143"/>
  <c r="DD40" i="143"/>
  <c r="DD15" i="143"/>
  <c r="DD14" i="143"/>
  <c r="DD60" i="143"/>
  <c r="CK63" i="143"/>
  <c r="CW93" i="146" l="1"/>
  <c r="CV93" i="146"/>
  <c r="I93" i="146"/>
  <c r="L93" i="146" s="1"/>
  <c r="O93" i="146" s="1"/>
  <c r="R93" i="146" s="1"/>
  <c r="U93" i="146" s="1"/>
  <c r="X93" i="146" s="1"/>
  <c r="AA93" i="146" s="1"/>
  <c r="AD93" i="146" s="1"/>
  <c r="AG93" i="146" s="1"/>
  <c r="AJ93" i="146" s="1"/>
  <c r="AM93" i="146" s="1"/>
  <c r="AP93" i="146" s="1"/>
  <c r="AS93" i="146" s="1"/>
  <c r="AV93" i="146" s="1"/>
  <c r="AY93" i="146" s="1"/>
  <c r="BB93" i="146" s="1"/>
  <c r="BE93" i="146" s="1"/>
  <c r="BH93" i="146" s="1"/>
  <c r="BK93" i="146" s="1"/>
  <c r="BN93" i="146" s="1"/>
  <c r="BQ93" i="146" s="1"/>
  <c r="BT93" i="146" s="1"/>
  <c r="BW93" i="146" s="1"/>
  <c r="BZ93" i="146" s="1"/>
  <c r="CC93" i="146" s="1"/>
  <c r="CF93" i="146" s="1"/>
  <c r="CI93" i="146" s="1"/>
  <c r="CL93" i="146" s="1"/>
  <c r="CO93" i="146" s="1"/>
  <c r="CR93" i="146" s="1"/>
  <c r="CU93" i="146" s="1"/>
  <c r="CW92" i="146"/>
  <c r="CV92" i="146"/>
  <c r="I92" i="146"/>
  <c r="L92" i="146" s="1"/>
  <c r="O92" i="146" s="1"/>
  <c r="R92" i="146" s="1"/>
  <c r="U92" i="146" s="1"/>
  <c r="X92" i="146" s="1"/>
  <c r="AA92" i="146" s="1"/>
  <c r="AD92" i="146" s="1"/>
  <c r="AG92" i="146" s="1"/>
  <c r="AJ92" i="146" s="1"/>
  <c r="AM92" i="146" s="1"/>
  <c r="AP92" i="146" s="1"/>
  <c r="AS92" i="146" s="1"/>
  <c r="AV92" i="146" s="1"/>
  <c r="AY92" i="146" s="1"/>
  <c r="BB92" i="146" s="1"/>
  <c r="BE92" i="146" s="1"/>
  <c r="BH92" i="146" s="1"/>
  <c r="BK92" i="146" s="1"/>
  <c r="BN92" i="146" s="1"/>
  <c r="BQ92" i="146" s="1"/>
  <c r="BT92" i="146" s="1"/>
  <c r="BW92" i="146" s="1"/>
  <c r="BZ92" i="146" s="1"/>
  <c r="CC92" i="146" s="1"/>
  <c r="CF92" i="146" s="1"/>
  <c r="CI92" i="146" s="1"/>
  <c r="CL92" i="146" s="1"/>
  <c r="CO92" i="146" s="1"/>
  <c r="CR92" i="146" s="1"/>
  <c r="CU92" i="146" s="1"/>
  <c r="CW91" i="146"/>
  <c r="CV91" i="146"/>
  <c r="I91" i="146"/>
  <c r="L91" i="146" s="1"/>
  <c r="O91" i="146" s="1"/>
  <c r="R91" i="146" s="1"/>
  <c r="U91" i="146" s="1"/>
  <c r="X91" i="146" s="1"/>
  <c r="AA91" i="146" s="1"/>
  <c r="AD91" i="146" s="1"/>
  <c r="AG91" i="146" s="1"/>
  <c r="AJ91" i="146" s="1"/>
  <c r="AM91" i="146" s="1"/>
  <c r="AP91" i="146" s="1"/>
  <c r="AS91" i="146" s="1"/>
  <c r="AV91" i="146" s="1"/>
  <c r="AY91" i="146" s="1"/>
  <c r="BB91" i="146" s="1"/>
  <c r="BE91" i="146" s="1"/>
  <c r="BH91" i="146" s="1"/>
  <c r="BK91" i="146" s="1"/>
  <c r="BN91" i="146" s="1"/>
  <c r="BQ91" i="146" s="1"/>
  <c r="BT91" i="146" s="1"/>
  <c r="BW91" i="146" s="1"/>
  <c r="BZ91" i="146" s="1"/>
  <c r="CC91" i="146" s="1"/>
  <c r="CF91" i="146" s="1"/>
  <c r="CI91" i="146" s="1"/>
  <c r="CL91" i="146" s="1"/>
  <c r="CO91" i="146" s="1"/>
  <c r="CR91" i="146" s="1"/>
  <c r="CU91" i="146" s="1"/>
  <c r="CW90" i="146"/>
  <c r="CV90" i="146"/>
  <c r="I90" i="146"/>
  <c r="L90" i="146" s="1"/>
  <c r="O90" i="146" s="1"/>
  <c r="R90" i="146" s="1"/>
  <c r="U90" i="146" s="1"/>
  <c r="X90" i="146" s="1"/>
  <c r="AA90" i="146" s="1"/>
  <c r="AD90" i="146" s="1"/>
  <c r="AG90" i="146" s="1"/>
  <c r="AJ90" i="146" s="1"/>
  <c r="AM90" i="146" s="1"/>
  <c r="AP90" i="146" s="1"/>
  <c r="AS90" i="146" s="1"/>
  <c r="AV90" i="146" s="1"/>
  <c r="AY90" i="146" s="1"/>
  <c r="BB90" i="146" s="1"/>
  <c r="BE90" i="146" s="1"/>
  <c r="BH90" i="146" s="1"/>
  <c r="BK90" i="146" s="1"/>
  <c r="BN90" i="146" s="1"/>
  <c r="BQ90" i="146" s="1"/>
  <c r="BT90" i="146" s="1"/>
  <c r="BW90" i="146" s="1"/>
  <c r="BZ90" i="146" s="1"/>
  <c r="CC90" i="146" s="1"/>
  <c r="CF90" i="146" s="1"/>
  <c r="CI90" i="146" s="1"/>
  <c r="CL90" i="146" s="1"/>
  <c r="CO90" i="146" s="1"/>
  <c r="CR90" i="146" s="1"/>
  <c r="CU90" i="146" s="1"/>
  <c r="CW89" i="146"/>
  <c r="CV89" i="146"/>
  <c r="I89" i="146"/>
  <c r="L89" i="146" s="1"/>
  <c r="O89" i="146" s="1"/>
  <c r="R89" i="146" s="1"/>
  <c r="U89" i="146" s="1"/>
  <c r="X89" i="146" s="1"/>
  <c r="AA89" i="146" s="1"/>
  <c r="AD89" i="146" s="1"/>
  <c r="AG89" i="146" s="1"/>
  <c r="AJ89" i="146" s="1"/>
  <c r="AM89" i="146" s="1"/>
  <c r="AP89" i="146" s="1"/>
  <c r="AS89" i="146" s="1"/>
  <c r="AV89" i="146" s="1"/>
  <c r="AY89" i="146" s="1"/>
  <c r="BB89" i="146" s="1"/>
  <c r="BE89" i="146" s="1"/>
  <c r="BH89" i="146" s="1"/>
  <c r="BK89" i="146" s="1"/>
  <c r="BN89" i="146" s="1"/>
  <c r="BQ89" i="146" s="1"/>
  <c r="BT89" i="146" s="1"/>
  <c r="BW89" i="146" s="1"/>
  <c r="BZ89" i="146" s="1"/>
  <c r="CC89" i="146" s="1"/>
  <c r="CF89" i="146" s="1"/>
  <c r="CI89" i="146" s="1"/>
  <c r="CL89" i="146" s="1"/>
  <c r="CO89" i="146" s="1"/>
  <c r="CR89" i="146" s="1"/>
  <c r="CU89" i="146" s="1"/>
  <c r="CW88" i="146"/>
  <c r="CV88" i="146"/>
  <c r="I88" i="146"/>
  <c r="L88" i="146" s="1"/>
  <c r="O88" i="146" s="1"/>
  <c r="R88" i="146" s="1"/>
  <c r="U88" i="146" s="1"/>
  <c r="X88" i="146" s="1"/>
  <c r="AA88" i="146" s="1"/>
  <c r="AD88" i="146" s="1"/>
  <c r="AG88" i="146" s="1"/>
  <c r="AJ88" i="146" s="1"/>
  <c r="AM88" i="146" s="1"/>
  <c r="AP88" i="146" s="1"/>
  <c r="AS88" i="146" s="1"/>
  <c r="AV88" i="146" s="1"/>
  <c r="AY88" i="146" s="1"/>
  <c r="BB88" i="146" s="1"/>
  <c r="BE88" i="146" s="1"/>
  <c r="BH88" i="146" s="1"/>
  <c r="BK88" i="146" s="1"/>
  <c r="BN88" i="146" s="1"/>
  <c r="BQ88" i="146" s="1"/>
  <c r="BT88" i="146" s="1"/>
  <c r="BW88" i="146" s="1"/>
  <c r="BZ88" i="146" s="1"/>
  <c r="CC88" i="146" s="1"/>
  <c r="CF88" i="146" s="1"/>
  <c r="CI88" i="146" s="1"/>
  <c r="CL88" i="146" s="1"/>
  <c r="CO88" i="146" s="1"/>
  <c r="CR88" i="146" s="1"/>
  <c r="CU88" i="146" s="1"/>
  <c r="CW87" i="146"/>
  <c r="CV87" i="146"/>
  <c r="I87" i="146"/>
  <c r="L87" i="146" s="1"/>
  <c r="O87" i="146" s="1"/>
  <c r="R87" i="146" s="1"/>
  <c r="U87" i="146" s="1"/>
  <c r="X87" i="146" s="1"/>
  <c r="AA87" i="146" s="1"/>
  <c r="AD87" i="146" s="1"/>
  <c r="AG87" i="146" s="1"/>
  <c r="AJ87" i="146" s="1"/>
  <c r="AM87" i="146" s="1"/>
  <c r="AP87" i="146" s="1"/>
  <c r="AS87" i="146" s="1"/>
  <c r="AV87" i="146" s="1"/>
  <c r="AY87" i="146" s="1"/>
  <c r="BB87" i="146" s="1"/>
  <c r="BE87" i="146" s="1"/>
  <c r="BH87" i="146" s="1"/>
  <c r="BK87" i="146" s="1"/>
  <c r="BN87" i="146" s="1"/>
  <c r="BQ87" i="146" s="1"/>
  <c r="BT87" i="146" s="1"/>
  <c r="BW87" i="146" s="1"/>
  <c r="BZ87" i="146" s="1"/>
  <c r="CC87" i="146" s="1"/>
  <c r="CF87" i="146" s="1"/>
  <c r="CI87" i="146" s="1"/>
  <c r="CL87" i="146" s="1"/>
  <c r="CO87" i="146" s="1"/>
  <c r="CR87" i="146" s="1"/>
  <c r="CU87" i="146" s="1"/>
  <c r="CW86" i="146"/>
  <c r="CV86" i="146"/>
  <c r="I86" i="146"/>
  <c r="L86" i="146" s="1"/>
  <c r="O86" i="146" s="1"/>
  <c r="R86" i="146" s="1"/>
  <c r="U86" i="146" s="1"/>
  <c r="X86" i="146" s="1"/>
  <c r="AA86" i="146" s="1"/>
  <c r="AD86" i="146" s="1"/>
  <c r="AG86" i="146" s="1"/>
  <c r="AJ86" i="146" s="1"/>
  <c r="AM86" i="146" s="1"/>
  <c r="AP86" i="146" s="1"/>
  <c r="AS86" i="146" s="1"/>
  <c r="AV86" i="146" s="1"/>
  <c r="AY86" i="146" s="1"/>
  <c r="BB86" i="146" s="1"/>
  <c r="BE86" i="146" s="1"/>
  <c r="BH86" i="146" s="1"/>
  <c r="BK86" i="146" s="1"/>
  <c r="BN86" i="146" s="1"/>
  <c r="BQ86" i="146" s="1"/>
  <c r="BT86" i="146" s="1"/>
  <c r="BW86" i="146" s="1"/>
  <c r="BZ86" i="146" s="1"/>
  <c r="CC86" i="146" s="1"/>
  <c r="CF86" i="146" s="1"/>
  <c r="CI86" i="146" s="1"/>
  <c r="CL86" i="146" s="1"/>
  <c r="CO86" i="146" s="1"/>
  <c r="CR86" i="146" s="1"/>
  <c r="CU86" i="146" s="1"/>
  <c r="CW85" i="146"/>
  <c r="CV85" i="146"/>
  <c r="I85" i="146"/>
  <c r="L85" i="146" s="1"/>
  <c r="O85" i="146" s="1"/>
  <c r="R85" i="146" s="1"/>
  <c r="U85" i="146" s="1"/>
  <c r="X85" i="146" s="1"/>
  <c r="AA85" i="146" s="1"/>
  <c r="AD85" i="146" s="1"/>
  <c r="AG85" i="146" s="1"/>
  <c r="AJ85" i="146" s="1"/>
  <c r="AM85" i="146" s="1"/>
  <c r="AP85" i="146" s="1"/>
  <c r="AS85" i="146" s="1"/>
  <c r="AV85" i="146" s="1"/>
  <c r="AY85" i="146" s="1"/>
  <c r="BB85" i="146" s="1"/>
  <c r="BE85" i="146" s="1"/>
  <c r="BH85" i="146" s="1"/>
  <c r="BK85" i="146" s="1"/>
  <c r="BN85" i="146" s="1"/>
  <c r="BQ85" i="146" s="1"/>
  <c r="BT85" i="146" s="1"/>
  <c r="BW85" i="146" s="1"/>
  <c r="BZ85" i="146" s="1"/>
  <c r="CC85" i="146" s="1"/>
  <c r="CF85" i="146" s="1"/>
  <c r="CI85" i="146" s="1"/>
  <c r="CL85" i="146" s="1"/>
  <c r="CO85" i="146" s="1"/>
  <c r="CR85" i="146" s="1"/>
  <c r="CU85" i="146" s="1"/>
  <c r="CW84" i="146"/>
  <c r="CV84" i="146"/>
  <c r="I84" i="146"/>
  <c r="L84" i="146" s="1"/>
  <c r="O84" i="146" s="1"/>
  <c r="R84" i="146" s="1"/>
  <c r="U84" i="146" s="1"/>
  <c r="X84" i="146" s="1"/>
  <c r="AA84" i="146" s="1"/>
  <c r="AD84" i="146" s="1"/>
  <c r="AG84" i="146" s="1"/>
  <c r="AJ84" i="146" s="1"/>
  <c r="AM84" i="146" s="1"/>
  <c r="AP84" i="146" s="1"/>
  <c r="AS84" i="146" s="1"/>
  <c r="AV84" i="146" s="1"/>
  <c r="AY84" i="146" s="1"/>
  <c r="BB84" i="146" s="1"/>
  <c r="BE84" i="146" s="1"/>
  <c r="BH84" i="146" s="1"/>
  <c r="BK84" i="146" s="1"/>
  <c r="BN84" i="146" s="1"/>
  <c r="BQ84" i="146" s="1"/>
  <c r="BT84" i="146" s="1"/>
  <c r="BW84" i="146" s="1"/>
  <c r="BZ84" i="146" s="1"/>
  <c r="CC84" i="146" s="1"/>
  <c r="CF84" i="146" s="1"/>
  <c r="CI84" i="146" s="1"/>
  <c r="CL84" i="146" s="1"/>
  <c r="CO84" i="146" s="1"/>
  <c r="CR84" i="146" s="1"/>
  <c r="CU84" i="146" s="1"/>
  <c r="CV83" i="146"/>
  <c r="CV82" i="146"/>
  <c r="CW82" i="146"/>
  <c r="I82" i="146"/>
  <c r="L82" i="146" s="1"/>
  <c r="O82" i="146" s="1"/>
  <c r="R82" i="146" s="1"/>
  <c r="U82" i="146" s="1"/>
  <c r="X82" i="146" s="1"/>
  <c r="AA82" i="146" s="1"/>
  <c r="AD82" i="146" s="1"/>
  <c r="AG82" i="146" s="1"/>
  <c r="AJ82" i="146" s="1"/>
  <c r="AM82" i="146" s="1"/>
  <c r="AP82" i="146" s="1"/>
  <c r="AS82" i="146" s="1"/>
  <c r="AV82" i="146" s="1"/>
  <c r="AY82" i="146" s="1"/>
  <c r="BB82" i="146" s="1"/>
  <c r="BE82" i="146" s="1"/>
  <c r="BH82" i="146" s="1"/>
  <c r="BK82" i="146" s="1"/>
  <c r="BN82" i="146" s="1"/>
  <c r="BQ82" i="146" s="1"/>
  <c r="BT82" i="146" s="1"/>
  <c r="BW82" i="146" s="1"/>
  <c r="BZ82" i="146" s="1"/>
  <c r="CC82" i="146" s="1"/>
  <c r="CF82" i="146" s="1"/>
  <c r="CI82" i="146" s="1"/>
  <c r="CL82" i="146" s="1"/>
  <c r="CO82" i="146" s="1"/>
  <c r="CR82" i="146" s="1"/>
  <c r="CU82" i="146" s="1"/>
  <c r="CW81" i="146"/>
  <c r="CV81" i="146"/>
  <c r="I81" i="146"/>
  <c r="L81" i="146" s="1"/>
  <c r="O81" i="146" s="1"/>
  <c r="R81" i="146" s="1"/>
  <c r="U81" i="146" s="1"/>
  <c r="X81" i="146" s="1"/>
  <c r="AA81" i="146" s="1"/>
  <c r="AD81" i="146" s="1"/>
  <c r="AG81" i="146" s="1"/>
  <c r="AJ81" i="146" s="1"/>
  <c r="AM81" i="146" s="1"/>
  <c r="AP81" i="146" s="1"/>
  <c r="AS81" i="146" s="1"/>
  <c r="AV81" i="146" s="1"/>
  <c r="AY81" i="146" s="1"/>
  <c r="BB81" i="146" s="1"/>
  <c r="BE81" i="146" s="1"/>
  <c r="BH81" i="146" s="1"/>
  <c r="BK81" i="146" s="1"/>
  <c r="BN81" i="146" s="1"/>
  <c r="BQ81" i="146" s="1"/>
  <c r="BT81" i="146" s="1"/>
  <c r="BW81" i="146" s="1"/>
  <c r="BZ81" i="146" s="1"/>
  <c r="CC81" i="146" s="1"/>
  <c r="CF81" i="146" s="1"/>
  <c r="CI81" i="146" s="1"/>
  <c r="CL81" i="146" s="1"/>
  <c r="CO81" i="146" s="1"/>
  <c r="CR81" i="146" s="1"/>
  <c r="CU81" i="146" s="1"/>
  <c r="CV80" i="146"/>
  <c r="CW80" i="146"/>
  <c r="I80" i="146"/>
  <c r="L80" i="146" s="1"/>
  <c r="O80" i="146" s="1"/>
  <c r="R80" i="146" s="1"/>
  <c r="U80" i="146" s="1"/>
  <c r="X80" i="146" s="1"/>
  <c r="AA80" i="146" s="1"/>
  <c r="AD80" i="146" s="1"/>
  <c r="AG80" i="146" s="1"/>
  <c r="AJ80" i="146" s="1"/>
  <c r="AM80" i="146" s="1"/>
  <c r="AP80" i="146" s="1"/>
  <c r="AS80" i="146" s="1"/>
  <c r="AV80" i="146" s="1"/>
  <c r="AY80" i="146" s="1"/>
  <c r="BB80" i="146" s="1"/>
  <c r="BE80" i="146" s="1"/>
  <c r="BH80" i="146" s="1"/>
  <c r="BK80" i="146" s="1"/>
  <c r="BN80" i="146" s="1"/>
  <c r="BQ80" i="146" s="1"/>
  <c r="BT80" i="146" s="1"/>
  <c r="BW80" i="146" s="1"/>
  <c r="BZ80" i="146" s="1"/>
  <c r="CC80" i="146" s="1"/>
  <c r="CF80" i="146" s="1"/>
  <c r="CI80" i="146" s="1"/>
  <c r="CL80" i="146" s="1"/>
  <c r="CO80" i="146" s="1"/>
  <c r="CR80" i="146" s="1"/>
  <c r="CU80" i="146" s="1"/>
  <c r="CW79" i="146"/>
  <c r="CV79" i="146"/>
  <c r="I79" i="146"/>
  <c r="L79" i="146" s="1"/>
  <c r="O79" i="146" s="1"/>
  <c r="R79" i="146" s="1"/>
  <c r="U79" i="146" s="1"/>
  <c r="X79" i="146" s="1"/>
  <c r="AA79" i="146" s="1"/>
  <c r="AD79" i="146" s="1"/>
  <c r="AG79" i="146" s="1"/>
  <c r="AJ79" i="146" s="1"/>
  <c r="AM79" i="146" s="1"/>
  <c r="AP79" i="146" s="1"/>
  <c r="AS79" i="146" s="1"/>
  <c r="AV79" i="146" s="1"/>
  <c r="AY79" i="146" s="1"/>
  <c r="BB79" i="146" s="1"/>
  <c r="BE79" i="146" s="1"/>
  <c r="BH79" i="146" s="1"/>
  <c r="BK79" i="146" s="1"/>
  <c r="BN79" i="146" s="1"/>
  <c r="BQ79" i="146" s="1"/>
  <c r="BT79" i="146" s="1"/>
  <c r="BW79" i="146" s="1"/>
  <c r="BZ79" i="146" s="1"/>
  <c r="CC79" i="146" s="1"/>
  <c r="CF79" i="146" s="1"/>
  <c r="CI79" i="146" s="1"/>
  <c r="CL79" i="146" s="1"/>
  <c r="CO79" i="146" s="1"/>
  <c r="CR79" i="146" s="1"/>
  <c r="CU79" i="146" s="1"/>
  <c r="CZ78" i="146"/>
  <c r="CW78" i="146"/>
  <c r="CV78" i="146"/>
  <c r="I78" i="146"/>
  <c r="L78" i="146" s="1"/>
  <c r="O78" i="146" s="1"/>
  <c r="R78" i="146" s="1"/>
  <c r="U78" i="146" s="1"/>
  <c r="X78" i="146" s="1"/>
  <c r="AA78" i="146" s="1"/>
  <c r="AD78" i="146" s="1"/>
  <c r="AG78" i="146" s="1"/>
  <c r="AJ78" i="146" s="1"/>
  <c r="AM78" i="146" s="1"/>
  <c r="AP78" i="146" s="1"/>
  <c r="AS78" i="146" s="1"/>
  <c r="AV78" i="146" s="1"/>
  <c r="AY78" i="146" s="1"/>
  <c r="BB78" i="146" s="1"/>
  <c r="BE78" i="146" s="1"/>
  <c r="BH78" i="146" s="1"/>
  <c r="BK78" i="146" s="1"/>
  <c r="BN78" i="146" s="1"/>
  <c r="BQ78" i="146" s="1"/>
  <c r="BT78" i="146" s="1"/>
  <c r="BW78" i="146" s="1"/>
  <c r="BZ78" i="146" s="1"/>
  <c r="CC78" i="146" s="1"/>
  <c r="CF78" i="146" s="1"/>
  <c r="CI78" i="146" s="1"/>
  <c r="CL78" i="146" s="1"/>
  <c r="CO78" i="146" s="1"/>
  <c r="CR78" i="146" s="1"/>
  <c r="CU78" i="146" s="1"/>
  <c r="DB78" i="146" s="1"/>
  <c r="DE78" i="146" s="1"/>
  <c r="CV77" i="146"/>
  <c r="I77" i="146"/>
  <c r="L77" i="146" s="1"/>
  <c r="O77" i="146" s="1"/>
  <c r="R77" i="146" s="1"/>
  <c r="U77" i="146" s="1"/>
  <c r="X77" i="146" s="1"/>
  <c r="AA77" i="146" s="1"/>
  <c r="AD77" i="146" s="1"/>
  <c r="AG77" i="146" s="1"/>
  <c r="I76" i="146"/>
  <c r="L76" i="146" s="1"/>
  <c r="O76" i="146" s="1"/>
  <c r="R76" i="146" s="1"/>
  <c r="U76" i="146" s="1"/>
  <c r="X76" i="146" s="1"/>
  <c r="CW75" i="146"/>
  <c r="CV75" i="146"/>
  <c r="I75" i="146"/>
  <c r="L75" i="146" s="1"/>
  <c r="O75" i="146" s="1"/>
  <c r="R75" i="146" s="1"/>
  <c r="U75" i="146" s="1"/>
  <c r="X75" i="146" s="1"/>
  <c r="AA75" i="146" s="1"/>
  <c r="AD75" i="146" s="1"/>
  <c r="AG75" i="146" s="1"/>
  <c r="AJ75" i="146" s="1"/>
  <c r="AM75" i="146" s="1"/>
  <c r="AP75" i="146" s="1"/>
  <c r="AS75" i="146" s="1"/>
  <c r="AV75" i="146" s="1"/>
  <c r="AY75" i="146" s="1"/>
  <c r="BB75" i="146" s="1"/>
  <c r="BE75" i="146" s="1"/>
  <c r="BH75" i="146" s="1"/>
  <c r="BK75" i="146" s="1"/>
  <c r="BN75" i="146" s="1"/>
  <c r="BQ75" i="146" s="1"/>
  <c r="BT75" i="146" s="1"/>
  <c r="BW75" i="146" s="1"/>
  <c r="BZ75" i="146" s="1"/>
  <c r="CC75" i="146" s="1"/>
  <c r="CF75" i="146" s="1"/>
  <c r="CI75" i="146" s="1"/>
  <c r="CL75" i="146" s="1"/>
  <c r="CO75" i="146" s="1"/>
  <c r="CR75" i="146" s="1"/>
  <c r="CU75" i="146" s="1"/>
  <c r="CW74" i="146"/>
  <c r="CV74" i="146"/>
  <c r="I74" i="146"/>
  <c r="L74" i="146" s="1"/>
  <c r="O74" i="146" s="1"/>
  <c r="R74" i="146" s="1"/>
  <c r="U74" i="146" s="1"/>
  <c r="X74" i="146" s="1"/>
  <c r="AA74" i="146" s="1"/>
  <c r="AD74" i="146" s="1"/>
  <c r="AG74" i="146" s="1"/>
  <c r="AJ74" i="146" s="1"/>
  <c r="AM74" i="146" s="1"/>
  <c r="AP74" i="146" s="1"/>
  <c r="AS74" i="146" s="1"/>
  <c r="AV74" i="146" s="1"/>
  <c r="AY74" i="146" s="1"/>
  <c r="BB74" i="146" s="1"/>
  <c r="BE74" i="146" s="1"/>
  <c r="BH74" i="146" s="1"/>
  <c r="BK74" i="146" s="1"/>
  <c r="BN74" i="146" s="1"/>
  <c r="BQ74" i="146" s="1"/>
  <c r="BT74" i="146" s="1"/>
  <c r="BW74" i="146" s="1"/>
  <c r="BZ74" i="146" s="1"/>
  <c r="CC74" i="146" s="1"/>
  <c r="CF74" i="146" s="1"/>
  <c r="CI74" i="146" s="1"/>
  <c r="CL74" i="146" s="1"/>
  <c r="CO74" i="146" s="1"/>
  <c r="CR74" i="146" s="1"/>
  <c r="CU74" i="146" s="1"/>
  <c r="CW73" i="146"/>
  <c r="CV73" i="146"/>
  <c r="I73" i="146"/>
  <c r="L73" i="146" s="1"/>
  <c r="O73" i="146" s="1"/>
  <c r="R73" i="146" s="1"/>
  <c r="U73" i="146" s="1"/>
  <c r="X73" i="146" s="1"/>
  <c r="AA73" i="146" s="1"/>
  <c r="AD73" i="146" s="1"/>
  <c r="AG73" i="146" s="1"/>
  <c r="AJ73" i="146" s="1"/>
  <c r="AM73" i="146" s="1"/>
  <c r="AP73" i="146" s="1"/>
  <c r="AS73" i="146" s="1"/>
  <c r="AV73" i="146" s="1"/>
  <c r="AY73" i="146" s="1"/>
  <c r="BB73" i="146" s="1"/>
  <c r="BE73" i="146" s="1"/>
  <c r="BH73" i="146" s="1"/>
  <c r="BK73" i="146" s="1"/>
  <c r="BN73" i="146" s="1"/>
  <c r="BQ73" i="146" s="1"/>
  <c r="BT73" i="146" s="1"/>
  <c r="BW73" i="146" s="1"/>
  <c r="BZ73" i="146" s="1"/>
  <c r="CC73" i="146" s="1"/>
  <c r="CF73" i="146" s="1"/>
  <c r="CI73" i="146" s="1"/>
  <c r="CL73" i="146" s="1"/>
  <c r="CO73" i="146" s="1"/>
  <c r="CR73" i="146" s="1"/>
  <c r="CU73" i="146" s="1"/>
  <c r="CW72" i="146"/>
  <c r="CV72" i="146"/>
  <c r="I72" i="146"/>
  <c r="L72" i="146" s="1"/>
  <c r="O72" i="146" s="1"/>
  <c r="R72" i="146" s="1"/>
  <c r="U72" i="146" s="1"/>
  <c r="X72" i="146" s="1"/>
  <c r="AA72" i="146" s="1"/>
  <c r="AD72" i="146" s="1"/>
  <c r="AG72" i="146" s="1"/>
  <c r="AJ72" i="146" s="1"/>
  <c r="AM72" i="146" s="1"/>
  <c r="AP72" i="146" s="1"/>
  <c r="AS72" i="146" s="1"/>
  <c r="AV72" i="146" s="1"/>
  <c r="AY72" i="146" s="1"/>
  <c r="BB72" i="146" s="1"/>
  <c r="BE72" i="146" s="1"/>
  <c r="BH72" i="146" s="1"/>
  <c r="BK72" i="146" s="1"/>
  <c r="BN72" i="146" s="1"/>
  <c r="BQ72" i="146" s="1"/>
  <c r="BT72" i="146" s="1"/>
  <c r="BW72" i="146" s="1"/>
  <c r="BZ72" i="146" s="1"/>
  <c r="CC72" i="146" s="1"/>
  <c r="CF72" i="146" s="1"/>
  <c r="CI72" i="146" s="1"/>
  <c r="CL72" i="146" s="1"/>
  <c r="CO72" i="146" s="1"/>
  <c r="CR72" i="146" s="1"/>
  <c r="CU72" i="146" s="1"/>
  <c r="CV71" i="146"/>
  <c r="I71" i="146"/>
  <c r="L71" i="146" s="1"/>
  <c r="O71" i="146" s="1"/>
  <c r="R71" i="146" s="1"/>
  <c r="U71" i="146" s="1"/>
  <c r="X71" i="146" s="1"/>
  <c r="AA71" i="146" s="1"/>
  <c r="AD71" i="146" s="1"/>
  <c r="AG71" i="146" s="1"/>
  <c r="AJ71" i="146" s="1"/>
  <c r="AM71" i="146" s="1"/>
  <c r="AP71" i="146" s="1"/>
  <c r="AS71" i="146" s="1"/>
  <c r="AV71" i="146" s="1"/>
  <c r="AY71" i="146" s="1"/>
  <c r="BB71" i="146" s="1"/>
  <c r="CW70" i="146"/>
  <c r="CV70" i="146"/>
  <c r="I70" i="146"/>
  <c r="L70" i="146" s="1"/>
  <c r="O70" i="146" s="1"/>
  <c r="R70" i="146" s="1"/>
  <c r="U70" i="146" s="1"/>
  <c r="X70" i="146" s="1"/>
  <c r="AA70" i="146" s="1"/>
  <c r="AD70" i="146" s="1"/>
  <c r="AG70" i="146" s="1"/>
  <c r="AJ70" i="146" s="1"/>
  <c r="AM70" i="146" s="1"/>
  <c r="AP70" i="146" s="1"/>
  <c r="AS70" i="146" s="1"/>
  <c r="AV70" i="146" s="1"/>
  <c r="AY70" i="146" s="1"/>
  <c r="BB70" i="146" s="1"/>
  <c r="CW69" i="146"/>
  <c r="CV69" i="146"/>
  <c r="I69" i="146"/>
  <c r="L69" i="146" s="1"/>
  <c r="O69" i="146" s="1"/>
  <c r="R69" i="146" s="1"/>
  <c r="U69" i="146" s="1"/>
  <c r="X69" i="146" s="1"/>
  <c r="AA69" i="146" s="1"/>
  <c r="AD69" i="146" s="1"/>
  <c r="AG69" i="146" s="1"/>
  <c r="AJ69" i="146" s="1"/>
  <c r="AM69" i="146" s="1"/>
  <c r="AP69" i="146" s="1"/>
  <c r="AS69" i="146" s="1"/>
  <c r="AV69" i="146" s="1"/>
  <c r="AY69" i="146" s="1"/>
  <c r="BB69" i="146" s="1"/>
  <c r="BE69" i="146" s="1"/>
  <c r="BH69" i="146" s="1"/>
  <c r="BK69" i="146" s="1"/>
  <c r="BN69" i="146" s="1"/>
  <c r="BQ69" i="146" s="1"/>
  <c r="BT69" i="146" s="1"/>
  <c r="BW69" i="146" s="1"/>
  <c r="BZ69" i="146" s="1"/>
  <c r="CC69" i="146" s="1"/>
  <c r="CF69" i="146" s="1"/>
  <c r="CI69" i="146" s="1"/>
  <c r="CL69" i="146" s="1"/>
  <c r="CO69" i="146" s="1"/>
  <c r="CR69" i="146" s="1"/>
  <c r="CU69" i="146" s="1"/>
  <c r="CW68" i="146"/>
  <c r="CV68" i="146"/>
  <c r="I68" i="146"/>
  <c r="L68" i="146" s="1"/>
  <c r="O68" i="146" s="1"/>
  <c r="R68" i="146" s="1"/>
  <c r="U68" i="146" s="1"/>
  <c r="X68" i="146" s="1"/>
  <c r="AA68" i="146" s="1"/>
  <c r="AD68" i="146" s="1"/>
  <c r="AG68" i="146" s="1"/>
  <c r="AJ68" i="146" s="1"/>
  <c r="AM68" i="146" s="1"/>
  <c r="AP68" i="146" s="1"/>
  <c r="AS68" i="146" s="1"/>
  <c r="AV68" i="146" s="1"/>
  <c r="AY68" i="146" s="1"/>
  <c r="BB68" i="146" s="1"/>
  <c r="BE68" i="146" s="1"/>
  <c r="BH68" i="146" s="1"/>
  <c r="BK68" i="146" s="1"/>
  <c r="BN68" i="146" s="1"/>
  <c r="BQ68" i="146" s="1"/>
  <c r="BT68" i="146" s="1"/>
  <c r="BW68" i="146" s="1"/>
  <c r="BZ68" i="146" s="1"/>
  <c r="CC68" i="146" s="1"/>
  <c r="CF68" i="146" s="1"/>
  <c r="CI68" i="146" s="1"/>
  <c r="CL68" i="146" s="1"/>
  <c r="CO68" i="146" s="1"/>
  <c r="CR68" i="146" s="1"/>
  <c r="CU68" i="146" s="1"/>
  <c r="CW67" i="146"/>
  <c r="CV67" i="146"/>
  <c r="I67" i="146"/>
  <c r="L67" i="146" s="1"/>
  <c r="O67" i="146" s="1"/>
  <c r="R67" i="146" s="1"/>
  <c r="U67" i="146" s="1"/>
  <c r="X67" i="146" s="1"/>
  <c r="AA67" i="146" s="1"/>
  <c r="AD67" i="146" s="1"/>
  <c r="AG67" i="146" s="1"/>
  <c r="AJ67" i="146" s="1"/>
  <c r="AM67" i="146" s="1"/>
  <c r="AP67" i="146" s="1"/>
  <c r="AS67" i="146" s="1"/>
  <c r="AV67" i="146" s="1"/>
  <c r="AY67" i="146" s="1"/>
  <c r="BB67" i="146" s="1"/>
  <c r="BE67" i="146" s="1"/>
  <c r="BH67" i="146" s="1"/>
  <c r="BK67" i="146" s="1"/>
  <c r="BN67" i="146" s="1"/>
  <c r="BQ67" i="146" s="1"/>
  <c r="BT67" i="146" s="1"/>
  <c r="BW67" i="146" s="1"/>
  <c r="BZ67" i="146" s="1"/>
  <c r="CC67" i="146" s="1"/>
  <c r="CF67" i="146" s="1"/>
  <c r="CI67" i="146" s="1"/>
  <c r="CL67" i="146" s="1"/>
  <c r="CO67" i="146" s="1"/>
  <c r="CR67" i="146" s="1"/>
  <c r="CU67" i="146" s="1"/>
  <c r="CW66" i="146"/>
  <c r="CV66" i="146"/>
  <c r="I66" i="146"/>
  <c r="L66" i="146" s="1"/>
  <c r="O66" i="146" s="1"/>
  <c r="R66" i="146" s="1"/>
  <c r="U66" i="146" s="1"/>
  <c r="X66" i="146" s="1"/>
  <c r="AA66" i="146" s="1"/>
  <c r="AD66" i="146" s="1"/>
  <c r="AG66" i="146" s="1"/>
  <c r="AJ66" i="146" s="1"/>
  <c r="AM66" i="146" s="1"/>
  <c r="AP66" i="146" s="1"/>
  <c r="AS66" i="146" s="1"/>
  <c r="AV66" i="146" s="1"/>
  <c r="AY66" i="146" s="1"/>
  <c r="BB66" i="146" s="1"/>
  <c r="BE66" i="146" s="1"/>
  <c r="BH66" i="146" s="1"/>
  <c r="BK66" i="146" s="1"/>
  <c r="BN66" i="146" s="1"/>
  <c r="BQ66" i="146" s="1"/>
  <c r="BT66" i="146" s="1"/>
  <c r="BW66" i="146" s="1"/>
  <c r="BZ66" i="146" s="1"/>
  <c r="CC66" i="146" s="1"/>
  <c r="CF66" i="146" s="1"/>
  <c r="CI66" i="146" s="1"/>
  <c r="CL66" i="146" s="1"/>
  <c r="CO66" i="146" s="1"/>
  <c r="CR66" i="146" s="1"/>
  <c r="CU66" i="146" s="1"/>
  <c r="CV65" i="146"/>
  <c r="CW65" i="146"/>
  <c r="I65" i="146"/>
  <c r="L65" i="146" s="1"/>
  <c r="O65" i="146" s="1"/>
  <c r="R65" i="146" s="1"/>
  <c r="U65" i="146" s="1"/>
  <c r="X65" i="146" s="1"/>
  <c r="AA65" i="146" s="1"/>
  <c r="AD65" i="146" s="1"/>
  <c r="AG65" i="146" s="1"/>
  <c r="AJ65" i="146" s="1"/>
  <c r="AM65" i="146" s="1"/>
  <c r="AP65" i="146" s="1"/>
  <c r="AS65" i="146" s="1"/>
  <c r="AV65" i="146" s="1"/>
  <c r="AY65" i="146" s="1"/>
  <c r="BB65" i="146" s="1"/>
  <c r="BE65" i="146" s="1"/>
  <c r="BH65" i="146" s="1"/>
  <c r="BK65" i="146" s="1"/>
  <c r="BN65" i="146" s="1"/>
  <c r="BQ65" i="146" s="1"/>
  <c r="BT65" i="146" s="1"/>
  <c r="BW65" i="146" s="1"/>
  <c r="BZ65" i="146" s="1"/>
  <c r="CC65" i="146" s="1"/>
  <c r="CF65" i="146" s="1"/>
  <c r="CI65" i="146" s="1"/>
  <c r="CL65" i="146" s="1"/>
  <c r="CO65" i="146" s="1"/>
  <c r="CR65" i="146" s="1"/>
  <c r="CU65" i="146" s="1"/>
  <c r="CW64" i="146"/>
  <c r="CV64" i="146"/>
  <c r="I64" i="146"/>
  <c r="L64" i="146" s="1"/>
  <c r="O64" i="146" s="1"/>
  <c r="R64" i="146" s="1"/>
  <c r="U64" i="146" s="1"/>
  <c r="X64" i="146" s="1"/>
  <c r="AA64" i="146" s="1"/>
  <c r="AD64" i="146" s="1"/>
  <c r="AG64" i="146" s="1"/>
  <c r="AJ64" i="146" s="1"/>
  <c r="AM64" i="146" s="1"/>
  <c r="AP64" i="146" s="1"/>
  <c r="AS64" i="146" s="1"/>
  <c r="AV64" i="146" s="1"/>
  <c r="AY64" i="146" s="1"/>
  <c r="BB64" i="146" s="1"/>
  <c r="BE64" i="146" s="1"/>
  <c r="BH64" i="146" s="1"/>
  <c r="BK64" i="146" s="1"/>
  <c r="BN64" i="146" s="1"/>
  <c r="BQ64" i="146" s="1"/>
  <c r="BT64" i="146" s="1"/>
  <c r="BW64" i="146" s="1"/>
  <c r="BZ64" i="146" s="1"/>
  <c r="CC64" i="146" s="1"/>
  <c r="CF64" i="146" s="1"/>
  <c r="CI64" i="146" s="1"/>
  <c r="CL64" i="146" s="1"/>
  <c r="CO64" i="146" s="1"/>
  <c r="CR64" i="146" s="1"/>
  <c r="CU64" i="146" s="1"/>
  <c r="I63" i="146"/>
  <c r="L63" i="146" s="1"/>
  <c r="O63" i="146" s="1"/>
  <c r="R63" i="146" s="1"/>
  <c r="U63" i="146" s="1"/>
  <c r="X63" i="146" s="1"/>
  <c r="AA63" i="146" s="1"/>
  <c r="AD63" i="146" s="1"/>
  <c r="AG63" i="146" s="1"/>
  <c r="AJ63" i="146" s="1"/>
  <c r="AM63" i="146" s="1"/>
  <c r="AP63" i="146" s="1"/>
  <c r="AS63" i="146" s="1"/>
  <c r="AV63" i="146" s="1"/>
  <c r="AY63" i="146" s="1"/>
  <c r="BB63" i="146" s="1"/>
  <c r="BE63" i="146" s="1"/>
  <c r="BH63" i="146" s="1"/>
  <c r="BK63" i="146" s="1"/>
  <c r="BN63" i="146" s="1"/>
  <c r="BQ63" i="146" s="1"/>
  <c r="BT63" i="146" s="1"/>
  <c r="BW63" i="146" s="1"/>
  <c r="BZ63" i="146" s="1"/>
  <c r="CC63" i="146" s="1"/>
  <c r="CF63" i="146" s="1"/>
  <c r="CI63" i="146" s="1"/>
  <c r="CL63" i="146" s="1"/>
  <c r="CO63" i="146" s="1"/>
  <c r="CR63" i="146" s="1"/>
  <c r="CU63" i="146" s="1"/>
  <c r="CW62" i="146"/>
  <c r="CV62" i="146"/>
  <c r="I62" i="146"/>
  <c r="L62" i="146" s="1"/>
  <c r="O62" i="146" s="1"/>
  <c r="R62" i="146" s="1"/>
  <c r="U62" i="146" s="1"/>
  <c r="X62" i="146" s="1"/>
  <c r="AA62" i="146" s="1"/>
  <c r="AD62" i="146" s="1"/>
  <c r="AG62" i="146" s="1"/>
  <c r="AJ62" i="146" s="1"/>
  <c r="AM62" i="146" s="1"/>
  <c r="AP62" i="146" s="1"/>
  <c r="AS62" i="146" s="1"/>
  <c r="AV62" i="146" s="1"/>
  <c r="AY62" i="146" s="1"/>
  <c r="BB62" i="146" s="1"/>
  <c r="BE62" i="146" s="1"/>
  <c r="BH62" i="146" s="1"/>
  <c r="BK62" i="146" s="1"/>
  <c r="BN62" i="146" s="1"/>
  <c r="BQ62" i="146" s="1"/>
  <c r="BT62" i="146" s="1"/>
  <c r="BW62" i="146" s="1"/>
  <c r="BZ62" i="146" s="1"/>
  <c r="CC62" i="146" s="1"/>
  <c r="CF62" i="146" s="1"/>
  <c r="CI62" i="146" s="1"/>
  <c r="CL62" i="146" s="1"/>
  <c r="CO62" i="146" s="1"/>
  <c r="CR62" i="146" s="1"/>
  <c r="CU62" i="146" s="1"/>
  <c r="CW61" i="146"/>
  <c r="CV61" i="146"/>
  <c r="I61" i="146"/>
  <c r="L61" i="146" s="1"/>
  <c r="O61" i="146" s="1"/>
  <c r="R61" i="146" s="1"/>
  <c r="U61" i="146" s="1"/>
  <c r="X61" i="146" s="1"/>
  <c r="AA61" i="146" s="1"/>
  <c r="AD61" i="146" s="1"/>
  <c r="AG61" i="146" s="1"/>
  <c r="AJ61" i="146" s="1"/>
  <c r="AM61" i="146" s="1"/>
  <c r="AP61" i="146" s="1"/>
  <c r="AS61" i="146" s="1"/>
  <c r="AV61" i="146" s="1"/>
  <c r="AY61" i="146" s="1"/>
  <c r="BB61" i="146" s="1"/>
  <c r="BE61" i="146" s="1"/>
  <c r="BH61" i="146" s="1"/>
  <c r="BK61" i="146" s="1"/>
  <c r="BN61" i="146" s="1"/>
  <c r="BQ61" i="146" s="1"/>
  <c r="BT61" i="146" s="1"/>
  <c r="BW61" i="146" s="1"/>
  <c r="BZ61" i="146" s="1"/>
  <c r="CC61" i="146" s="1"/>
  <c r="CF61" i="146" s="1"/>
  <c r="CI61" i="146" s="1"/>
  <c r="CL61" i="146" s="1"/>
  <c r="CO61" i="146" s="1"/>
  <c r="CR61" i="146" s="1"/>
  <c r="CU61" i="146" s="1"/>
  <c r="I59" i="146"/>
  <c r="L59" i="146" s="1"/>
  <c r="O59" i="146" s="1"/>
  <c r="R59" i="146" s="1"/>
  <c r="U59" i="146" s="1"/>
  <c r="CW58" i="146"/>
  <c r="CV58" i="146"/>
  <c r="I58" i="146"/>
  <c r="L58" i="146" s="1"/>
  <c r="O58" i="146" s="1"/>
  <c r="R58" i="146" s="1"/>
  <c r="U58" i="146" s="1"/>
  <c r="X58" i="146" s="1"/>
  <c r="AA58" i="146" s="1"/>
  <c r="AD58" i="146" s="1"/>
  <c r="AG58" i="146" s="1"/>
  <c r="AJ58" i="146" s="1"/>
  <c r="AM58" i="146" s="1"/>
  <c r="AP58" i="146" s="1"/>
  <c r="AS58" i="146" s="1"/>
  <c r="AV58" i="146" s="1"/>
  <c r="AY58" i="146" s="1"/>
  <c r="BB58" i="146" s="1"/>
  <c r="BE58" i="146" s="1"/>
  <c r="BH58" i="146" s="1"/>
  <c r="BK58" i="146" s="1"/>
  <c r="BN58" i="146" s="1"/>
  <c r="BQ58" i="146" s="1"/>
  <c r="BT58" i="146" s="1"/>
  <c r="BW58" i="146" s="1"/>
  <c r="BZ58" i="146" s="1"/>
  <c r="CC58" i="146" s="1"/>
  <c r="CF58" i="146" s="1"/>
  <c r="CI58" i="146" s="1"/>
  <c r="CL58" i="146" s="1"/>
  <c r="CO58" i="146" s="1"/>
  <c r="CR58" i="146" s="1"/>
  <c r="CU58" i="146" s="1"/>
  <c r="CW57" i="146"/>
  <c r="CV57" i="146"/>
  <c r="I57" i="146"/>
  <c r="L57" i="146" s="1"/>
  <c r="O57" i="146" s="1"/>
  <c r="R57" i="146" s="1"/>
  <c r="U57" i="146" s="1"/>
  <c r="X57" i="146" s="1"/>
  <c r="AA57" i="146" s="1"/>
  <c r="AD57" i="146" s="1"/>
  <c r="AG57" i="146" s="1"/>
  <c r="AJ57" i="146" s="1"/>
  <c r="AM57" i="146" s="1"/>
  <c r="AP57" i="146" s="1"/>
  <c r="AS57" i="146" s="1"/>
  <c r="AV57" i="146" s="1"/>
  <c r="AY57" i="146" s="1"/>
  <c r="BB57" i="146" s="1"/>
  <c r="BE57" i="146" s="1"/>
  <c r="BH57" i="146" s="1"/>
  <c r="BK57" i="146" s="1"/>
  <c r="BN57" i="146" s="1"/>
  <c r="BQ57" i="146" s="1"/>
  <c r="BT57" i="146" s="1"/>
  <c r="BW57" i="146" s="1"/>
  <c r="BZ57" i="146" s="1"/>
  <c r="CC57" i="146" s="1"/>
  <c r="CF57" i="146" s="1"/>
  <c r="CI57" i="146" s="1"/>
  <c r="CL57" i="146" s="1"/>
  <c r="CO57" i="146" s="1"/>
  <c r="CR57" i="146" s="1"/>
  <c r="CU57" i="146" s="1"/>
  <c r="CW56" i="146"/>
  <c r="CV56" i="146"/>
  <c r="I56" i="146"/>
  <c r="L56" i="146" s="1"/>
  <c r="O56" i="146" s="1"/>
  <c r="R56" i="146" s="1"/>
  <c r="U56" i="146" s="1"/>
  <c r="X56" i="146" s="1"/>
  <c r="AA56" i="146" s="1"/>
  <c r="AD56" i="146" s="1"/>
  <c r="AG56" i="146" s="1"/>
  <c r="AJ56" i="146" s="1"/>
  <c r="AM56" i="146" s="1"/>
  <c r="AP56" i="146" s="1"/>
  <c r="AS56" i="146" s="1"/>
  <c r="AV56" i="146" s="1"/>
  <c r="AY56" i="146" s="1"/>
  <c r="BB56" i="146" s="1"/>
  <c r="BE56" i="146" s="1"/>
  <c r="BH56" i="146" s="1"/>
  <c r="BK56" i="146" s="1"/>
  <c r="BN56" i="146" s="1"/>
  <c r="BQ56" i="146" s="1"/>
  <c r="BT56" i="146" s="1"/>
  <c r="BW56" i="146" s="1"/>
  <c r="BZ56" i="146" s="1"/>
  <c r="CC56" i="146" s="1"/>
  <c r="CF56" i="146" s="1"/>
  <c r="CI56" i="146" s="1"/>
  <c r="CL56" i="146" s="1"/>
  <c r="CO56" i="146" s="1"/>
  <c r="CR56" i="146" s="1"/>
  <c r="CU56" i="146" s="1"/>
  <c r="CW55" i="146"/>
  <c r="CV55" i="146"/>
  <c r="I55" i="146"/>
  <c r="L55" i="146" s="1"/>
  <c r="O55" i="146" s="1"/>
  <c r="R55" i="146" s="1"/>
  <c r="U55" i="146" s="1"/>
  <c r="X55" i="146" s="1"/>
  <c r="AA55" i="146" s="1"/>
  <c r="AD55" i="146" s="1"/>
  <c r="AG55" i="146" s="1"/>
  <c r="AJ55" i="146" s="1"/>
  <c r="AM55" i="146" s="1"/>
  <c r="AP55" i="146" s="1"/>
  <c r="AS55" i="146" s="1"/>
  <c r="AV55" i="146" s="1"/>
  <c r="AY55" i="146" s="1"/>
  <c r="BB55" i="146" s="1"/>
  <c r="BE55" i="146" s="1"/>
  <c r="BH55" i="146" s="1"/>
  <c r="BK55" i="146" s="1"/>
  <c r="BN55" i="146" s="1"/>
  <c r="BQ55" i="146" s="1"/>
  <c r="BT55" i="146" s="1"/>
  <c r="BW55" i="146" s="1"/>
  <c r="BZ55" i="146" s="1"/>
  <c r="CC55" i="146" s="1"/>
  <c r="CF55" i="146" s="1"/>
  <c r="CI55" i="146" s="1"/>
  <c r="CL55" i="146" s="1"/>
  <c r="CO55" i="146" s="1"/>
  <c r="CR55" i="146" s="1"/>
  <c r="CU55" i="146" s="1"/>
  <c r="CW54" i="146"/>
  <c r="CV54" i="146"/>
  <c r="I54" i="146"/>
  <c r="L54" i="146" s="1"/>
  <c r="O54" i="146" s="1"/>
  <c r="R54" i="146" s="1"/>
  <c r="U54" i="146" s="1"/>
  <c r="X54" i="146" s="1"/>
  <c r="AA54" i="146" s="1"/>
  <c r="AD54" i="146" s="1"/>
  <c r="AG54" i="146" s="1"/>
  <c r="AJ54" i="146" s="1"/>
  <c r="AM54" i="146" s="1"/>
  <c r="AP54" i="146" s="1"/>
  <c r="AS54" i="146" s="1"/>
  <c r="AV54" i="146" s="1"/>
  <c r="AY54" i="146" s="1"/>
  <c r="BB54" i="146" s="1"/>
  <c r="BE54" i="146" s="1"/>
  <c r="BH54" i="146" s="1"/>
  <c r="BK54" i="146" s="1"/>
  <c r="BN54" i="146" s="1"/>
  <c r="BQ54" i="146" s="1"/>
  <c r="BT54" i="146" s="1"/>
  <c r="BW54" i="146" s="1"/>
  <c r="BZ54" i="146" s="1"/>
  <c r="CC54" i="146" s="1"/>
  <c r="CF54" i="146" s="1"/>
  <c r="CI54" i="146" s="1"/>
  <c r="CL54" i="146" s="1"/>
  <c r="CO54" i="146" s="1"/>
  <c r="CR54" i="146" s="1"/>
  <c r="CU54" i="146" s="1"/>
  <c r="CV53" i="146"/>
  <c r="CW53" i="146"/>
  <c r="I53" i="146"/>
  <c r="L53" i="146" s="1"/>
  <c r="O53" i="146" s="1"/>
  <c r="CW52" i="146"/>
  <c r="CV52" i="146"/>
  <c r="I52" i="146"/>
  <c r="L52" i="146" s="1"/>
  <c r="O52" i="146" s="1"/>
  <c r="R52" i="146" s="1"/>
  <c r="U52" i="146" s="1"/>
  <c r="X52" i="146" s="1"/>
  <c r="AA52" i="146" s="1"/>
  <c r="AD52" i="146" s="1"/>
  <c r="AG52" i="146" s="1"/>
  <c r="AJ52" i="146" s="1"/>
  <c r="AM52" i="146" s="1"/>
  <c r="AP52" i="146" s="1"/>
  <c r="AS52" i="146" s="1"/>
  <c r="AV52" i="146" s="1"/>
  <c r="AY52" i="146" s="1"/>
  <c r="BB52" i="146" s="1"/>
  <c r="BE52" i="146" s="1"/>
  <c r="BH52" i="146" s="1"/>
  <c r="BK52" i="146" s="1"/>
  <c r="BN52" i="146" s="1"/>
  <c r="BQ52" i="146" s="1"/>
  <c r="BT52" i="146" s="1"/>
  <c r="BW52" i="146" s="1"/>
  <c r="BZ52" i="146" s="1"/>
  <c r="CC52" i="146" s="1"/>
  <c r="CF52" i="146" s="1"/>
  <c r="CI52" i="146" s="1"/>
  <c r="CL52" i="146" s="1"/>
  <c r="CO52" i="146" s="1"/>
  <c r="CR52" i="146" s="1"/>
  <c r="CU52" i="146" s="1"/>
  <c r="CW51" i="146"/>
  <c r="CV51" i="146"/>
  <c r="I51" i="146"/>
  <c r="L51" i="146" s="1"/>
  <c r="O51" i="146" s="1"/>
  <c r="R51" i="146" s="1"/>
  <c r="U51" i="146" s="1"/>
  <c r="X51" i="146" s="1"/>
  <c r="AA51" i="146" s="1"/>
  <c r="AD51" i="146" s="1"/>
  <c r="AG51" i="146" s="1"/>
  <c r="AJ51" i="146" s="1"/>
  <c r="AM51" i="146" s="1"/>
  <c r="AP51" i="146" s="1"/>
  <c r="AS51" i="146" s="1"/>
  <c r="AV51" i="146" s="1"/>
  <c r="AY51" i="146" s="1"/>
  <c r="BB51" i="146" s="1"/>
  <c r="BE51" i="146" s="1"/>
  <c r="BH51" i="146" s="1"/>
  <c r="BK51" i="146" s="1"/>
  <c r="BN51" i="146" s="1"/>
  <c r="BQ51" i="146" s="1"/>
  <c r="BT51" i="146" s="1"/>
  <c r="BW51" i="146" s="1"/>
  <c r="BZ51" i="146" s="1"/>
  <c r="CC51" i="146" s="1"/>
  <c r="CF51" i="146" s="1"/>
  <c r="CI51" i="146" s="1"/>
  <c r="CL51" i="146" s="1"/>
  <c r="CO51" i="146" s="1"/>
  <c r="CR51" i="146" s="1"/>
  <c r="CU51" i="146" s="1"/>
  <c r="CW50" i="146"/>
  <c r="CV50" i="146"/>
  <c r="I50" i="146"/>
  <c r="L50" i="146" s="1"/>
  <c r="O50" i="146" s="1"/>
  <c r="R50" i="146" s="1"/>
  <c r="U50" i="146" s="1"/>
  <c r="X50" i="146" s="1"/>
  <c r="AA50" i="146" s="1"/>
  <c r="AD50" i="146" s="1"/>
  <c r="AG50" i="146" s="1"/>
  <c r="AJ50" i="146" s="1"/>
  <c r="AM50" i="146" s="1"/>
  <c r="AP50" i="146" s="1"/>
  <c r="AS50" i="146" s="1"/>
  <c r="AV50" i="146" s="1"/>
  <c r="AY50" i="146" s="1"/>
  <c r="BB50" i="146" s="1"/>
  <c r="BE50" i="146" s="1"/>
  <c r="BH50" i="146" s="1"/>
  <c r="BK50" i="146" s="1"/>
  <c r="BN50" i="146" s="1"/>
  <c r="BQ50" i="146" s="1"/>
  <c r="BT50" i="146" s="1"/>
  <c r="BW50" i="146" s="1"/>
  <c r="BZ50" i="146" s="1"/>
  <c r="CC50" i="146" s="1"/>
  <c r="CF50" i="146" s="1"/>
  <c r="CI50" i="146" s="1"/>
  <c r="CL50" i="146" s="1"/>
  <c r="CO50" i="146" s="1"/>
  <c r="CR50" i="146" s="1"/>
  <c r="CU50" i="146" s="1"/>
  <c r="CW49" i="146"/>
  <c r="CV49" i="146"/>
  <c r="I49" i="146"/>
  <c r="L49" i="146" s="1"/>
  <c r="O49" i="146" s="1"/>
  <c r="R49" i="146" s="1"/>
  <c r="U49" i="146" s="1"/>
  <c r="X49" i="146" s="1"/>
  <c r="AA49" i="146" s="1"/>
  <c r="AD49" i="146" s="1"/>
  <c r="AG49" i="146" s="1"/>
  <c r="AJ49" i="146" s="1"/>
  <c r="AM49" i="146" s="1"/>
  <c r="AP49" i="146" s="1"/>
  <c r="AS49" i="146" s="1"/>
  <c r="AV49" i="146" s="1"/>
  <c r="AY49" i="146" s="1"/>
  <c r="BB49" i="146" s="1"/>
  <c r="BE49" i="146" s="1"/>
  <c r="BH49" i="146" s="1"/>
  <c r="BK49" i="146" s="1"/>
  <c r="BN49" i="146" s="1"/>
  <c r="BQ49" i="146" s="1"/>
  <c r="BT49" i="146" s="1"/>
  <c r="BW49" i="146" s="1"/>
  <c r="BZ49" i="146" s="1"/>
  <c r="CC49" i="146" s="1"/>
  <c r="CF49" i="146" s="1"/>
  <c r="CI49" i="146" s="1"/>
  <c r="CL49" i="146" s="1"/>
  <c r="CO49" i="146" s="1"/>
  <c r="CR49" i="146" s="1"/>
  <c r="CU49" i="146" s="1"/>
  <c r="CV48" i="146"/>
  <c r="CW47" i="146"/>
  <c r="CV47" i="146"/>
  <c r="I47" i="146"/>
  <c r="L47" i="146" s="1"/>
  <c r="O47" i="146" s="1"/>
  <c r="R47" i="146" s="1"/>
  <c r="U47" i="146" s="1"/>
  <c r="X47" i="146" s="1"/>
  <c r="AA47" i="146" s="1"/>
  <c r="AD47" i="146" s="1"/>
  <c r="AG47" i="146" s="1"/>
  <c r="AJ47" i="146" s="1"/>
  <c r="AM47" i="146" s="1"/>
  <c r="AP47" i="146" s="1"/>
  <c r="AS47" i="146" s="1"/>
  <c r="AV47" i="146" s="1"/>
  <c r="AY47" i="146" s="1"/>
  <c r="BB47" i="146" s="1"/>
  <c r="BE47" i="146" s="1"/>
  <c r="BH47" i="146" s="1"/>
  <c r="BK47" i="146" s="1"/>
  <c r="BN47" i="146" s="1"/>
  <c r="BQ47" i="146" s="1"/>
  <c r="BT47" i="146" s="1"/>
  <c r="BW47" i="146" s="1"/>
  <c r="BZ47" i="146" s="1"/>
  <c r="CC47" i="146" s="1"/>
  <c r="CF47" i="146" s="1"/>
  <c r="CI47" i="146" s="1"/>
  <c r="CL47" i="146" s="1"/>
  <c r="CO47" i="146" s="1"/>
  <c r="CR47" i="146" s="1"/>
  <c r="CU47" i="146" s="1"/>
  <c r="CW46" i="146"/>
  <c r="CV45" i="146"/>
  <c r="CW45" i="146"/>
  <c r="I45" i="146"/>
  <c r="L45" i="146" s="1"/>
  <c r="O45" i="146" s="1"/>
  <c r="R45" i="146" s="1"/>
  <c r="U45" i="146" s="1"/>
  <c r="X45" i="146" s="1"/>
  <c r="AA45" i="146" s="1"/>
  <c r="AD45" i="146" s="1"/>
  <c r="AG45" i="146" s="1"/>
  <c r="AJ45" i="146" s="1"/>
  <c r="AM45" i="146" s="1"/>
  <c r="AP45" i="146" s="1"/>
  <c r="AS45" i="146" s="1"/>
  <c r="AV45" i="146" s="1"/>
  <c r="AY45" i="146" s="1"/>
  <c r="BB45" i="146" s="1"/>
  <c r="BE45" i="146" s="1"/>
  <c r="BH45" i="146" s="1"/>
  <c r="BK45" i="146" s="1"/>
  <c r="BN45" i="146" s="1"/>
  <c r="BQ45" i="146" s="1"/>
  <c r="BT45" i="146" s="1"/>
  <c r="BW45" i="146" s="1"/>
  <c r="BZ45" i="146" s="1"/>
  <c r="CC45" i="146" s="1"/>
  <c r="CF45" i="146" s="1"/>
  <c r="CI45" i="146" s="1"/>
  <c r="CL45" i="146" s="1"/>
  <c r="CO45" i="146" s="1"/>
  <c r="CR45" i="146" s="1"/>
  <c r="CU45" i="146" s="1"/>
  <c r="CW44" i="146"/>
  <c r="CV44" i="146"/>
  <c r="I44" i="146"/>
  <c r="L44" i="146" s="1"/>
  <c r="O44" i="146" s="1"/>
  <c r="R44" i="146" s="1"/>
  <c r="U44" i="146" s="1"/>
  <c r="X44" i="146" s="1"/>
  <c r="AA44" i="146" s="1"/>
  <c r="AD44" i="146" s="1"/>
  <c r="AG44" i="146" s="1"/>
  <c r="AJ44" i="146" s="1"/>
  <c r="AM44" i="146" s="1"/>
  <c r="AP44" i="146" s="1"/>
  <c r="AS44" i="146" s="1"/>
  <c r="AV44" i="146" s="1"/>
  <c r="AY44" i="146" s="1"/>
  <c r="BB44" i="146" s="1"/>
  <c r="BE44" i="146" s="1"/>
  <c r="BH44" i="146" s="1"/>
  <c r="BK44" i="146" s="1"/>
  <c r="BN44" i="146" s="1"/>
  <c r="BQ44" i="146" s="1"/>
  <c r="BT44" i="146" s="1"/>
  <c r="BW44" i="146" s="1"/>
  <c r="BZ44" i="146" s="1"/>
  <c r="CC44" i="146" s="1"/>
  <c r="CF44" i="146" s="1"/>
  <c r="CI44" i="146" s="1"/>
  <c r="CL44" i="146" s="1"/>
  <c r="CO44" i="146" s="1"/>
  <c r="CR44" i="146" s="1"/>
  <c r="CU44" i="146" s="1"/>
  <c r="CV43" i="146"/>
  <c r="CW42" i="146"/>
  <c r="CV42" i="146"/>
  <c r="I42" i="146"/>
  <c r="L42" i="146" s="1"/>
  <c r="O42" i="146" s="1"/>
  <c r="R42" i="146" s="1"/>
  <c r="U42" i="146" s="1"/>
  <c r="X42" i="146" s="1"/>
  <c r="AA42" i="146" s="1"/>
  <c r="AD42" i="146" s="1"/>
  <c r="AG42" i="146" s="1"/>
  <c r="AJ42" i="146" s="1"/>
  <c r="AM42" i="146" s="1"/>
  <c r="AP42" i="146" s="1"/>
  <c r="AS42" i="146" s="1"/>
  <c r="AV42" i="146" s="1"/>
  <c r="AY42" i="146" s="1"/>
  <c r="BB42" i="146" s="1"/>
  <c r="BE42" i="146" s="1"/>
  <c r="BH42" i="146" s="1"/>
  <c r="BK42" i="146" s="1"/>
  <c r="BN42" i="146" s="1"/>
  <c r="BQ42" i="146" s="1"/>
  <c r="BT42" i="146" s="1"/>
  <c r="BW42" i="146" s="1"/>
  <c r="BZ42" i="146" s="1"/>
  <c r="CC42" i="146" s="1"/>
  <c r="CF42" i="146" s="1"/>
  <c r="CI42" i="146" s="1"/>
  <c r="CL42" i="146" s="1"/>
  <c r="CO42" i="146" s="1"/>
  <c r="CR42" i="146" s="1"/>
  <c r="CU42" i="146" s="1"/>
  <c r="CW41" i="146"/>
  <c r="CV41" i="146"/>
  <c r="I41" i="146"/>
  <c r="L41" i="146" s="1"/>
  <c r="O41" i="146" s="1"/>
  <c r="R41" i="146" s="1"/>
  <c r="U41" i="146" s="1"/>
  <c r="X41" i="146" s="1"/>
  <c r="AA41" i="146" s="1"/>
  <c r="AD41" i="146" s="1"/>
  <c r="AG41" i="146" s="1"/>
  <c r="AJ41" i="146" s="1"/>
  <c r="AM41" i="146" s="1"/>
  <c r="AP41" i="146" s="1"/>
  <c r="AS41" i="146" s="1"/>
  <c r="AV41" i="146" s="1"/>
  <c r="AY41" i="146" s="1"/>
  <c r="BB41" i="146" s="1"/>
  <c r="BE41" i="146" s="1"/>
  <c r="BH41" i="146" s="1"/>
  <c r="BK41" i="146" s="1"/>
  <c r="BN41" i="146" s="1"/>
  <c r="BQ41" i="146" s="1"/>
  <c r="BT41" i="146" s="1"/>
  <c r="BW41" i="146" s="1"/>
  <c r="BZ41" i="146" s="1"/>
  <c r="CC41" i="146" s="1"/>
  <c r="CF41" i="146" s="1"/>
  <c r="CI41" i="146" s="1"/>
  <c r="CL41" i="146" s="1"/>
  <c r="CO41" i="146" s="1"/>
  <c r="CR41" i="146" s="1"/>
  <c r="CU41" i="146" s="1"/>
  <c r="CV40" i="146"/>
  <c r="I40" i="146"/>
  <c r="L40" i="146" s="1"/>
  <c r="O40" i="146" s="1"/>
  <c r="R40" i="146" s="1"/>
  <c r="U40" i="146" s="1"/>
  <c r="X40" i="146" s="1"/>
  <c r="AA40" i="146" s="1"/>
  <c r="AD40" i="146" s="1"/>
  <c r="AG40" i="146" s="1"/>
  <c r="AJ40" i="146" s="1"/>
  <c r="AM40" i="146" s="1"/>
  <c r="AP40" i="146" s="1"/>
  <c r="AS40" i="146" s="1"/>
  <c r="AV40" i="146" s="1"/>
  <c r="AY40" i="146" s="1"/>
  <c r="BB40" i="146" s="1"/>
  <c r="BE40" i="146" s="1"/>
  <c r="BH40" i="146" s="1"/>
  <c r="BK40" i="146" s="1"/>
  <c r="BN40" i="146" s="1"/>
  <c r="BQ40" i="146" s="1"/>
  <c r="BT40" i="146" s="1"/>
  <c r="BW40" i="146" s="1"/>
  <c r="BZ40" i="146" s="1"/>
  <c r="CC40" i="146" s="1"/>
  <c r="CF40" i="146" s="1"/>
  <c r="CI40" i="146" s="1"/>
  <c r="CL40" i="146" s="1"/>
  <c r="CO40" i="146" s="1"/>
  <c r="CR40" i="146" s="1"/>
  <c r="CU40" i="146" s="1"/>
  <c r="CV39" i="146"/>
  <c r="I39" i="146"/>
  <c r="L39" i="146" s="1"/>
  <c r="O39" i="146" s="1"/>
  <c r="R39" i="146" s="1"/>
  <c r="U39" i="146" s="1"/>
  <c r="X39" i="146" s="1"/>
  <c r="AA39" i="146" s="1"/>
  <c r="AD39" i="146" s="1"/>
  <c r="AG39" i="146" s="1"/>
  <c r="AJ39" i="146" s="1"/>
  <c r="AM39" i="146" s="1"/>
  <c r="AP39" i="146" s="1"/>
  <c r="AS39" i="146" s="1"/>
  <c r="AV39" i="146" s="1"/>
  <c r="AY39" i="146" s="1"/>
  <c r="BB39" i="146" s="1"/>
  <c r="BE39" i="146" s="1"/>
  <c r="BH39" i="146" s="1"/>
  <c r="BK39" i="146" s="1"/>
  <c r="BN39" i="146" s="1"/>
  <c r="BQ39" i="146" s="1"/>
  <c r="BT39" i="146" s="1"/>
  <c r="BW39" i="146" s="1"/>
  <c r="BZ39" i="146" s="1"/>
  <c r="CC39" i="146" s="1"/>
  <c r="CF39" i="146" s="1"/>
  <c r="CI39" i="146" s="1"/>
  <c r="CL39" i="146" s="1"/>
  <c r="CO39" i="146" s="1"/>
  <c r="CR39" i="146" s="1"/>
  <c r="CU39" i="146" s="1"/>
  <c r="CW38" i="146"/>
  <c r="CV38" i="146"/>
  <c r="I38" i="146"/>
  <c r="L38" i="146" s="1"/>
  <c r="O38" i="146" s="1"/>
  <c r="R38" i="146" s="1"/>
  <c r="U38" i="146" s="1"/>
  <c r="X38" i="146" s="1"/>
  <c r="AA38" i="146" s="1"/>
  <c r="AD38" i="146" s="1"/>
  <c r="AG38" i="146" s="1"/>
  <c r="AJ38" i="146" s="1"/>
  <c r="AM38" i="146" s="1"/>
  <c r="AP38" i="146" s="1"/>
  <c r="AS38" i="146" s="1"/>
  <c r="AV38" i="146" s="1"/>
  <c r="AY38" i="146" s="1"/>
  <c r="BB38" i="146" s="1"/>
  <c r="BE38" i="146" s="1"/>
  <c r="BH38" i="146" s="1"/>
  <c r="BK38" i="146" s="1"/>
  <c r="BN38" i="146" s="1"/>
  <c r="BQ38" i="146" s="1"/>
  <c r="BT38" i="146" s="1"/>
  <c r="BW38" i="146" s="1"/>
  <c r="BZ38" i="146" s="1"/>
  <c r="CC38" i="146" s="1"/>
  <c r="CF38" i="146" s="1"/>
  <c r="CI38" i="146" s="1"/>
  <c r="CL38" i="146" s="1"/>
  <c r="CO38" i="146" s="1"/>
  <c r="CR38" i="146" s="1"/>
  <c r="CU38" i="146" s="1"/>
  <c r="CW37" i="146"/>
  <c r="CV37" i="146"/>
  <c r="I37" i="146"/>
  <c r="L37" i="146" s="1"/>
  <c r="O37" i="146" s="1"/>
  <c r="R37" i="146" s="1"/>
  <c r="U37" i="146" s="1"/>
  <c r="X37" i="146" s="1"/>
  <c r="AA37" i="146" s="1"/>
  <c r="AD37" i="146" s="1"/>
  <c r="AG37" i="146" s="1"/>
  <c r="AJ37" i="146" s="1"/>
  <c r="AM37" i="146" s="1"/>
  <c r="AP37" i="146" s="1"/>
  <c r="AS37" i="146" s="1"/>
  <c r="AV37" i="146" s="1"/>
  <c r="AY37" i="146" s="1"/>
  <c r="BB37" i="146" s="1"/>
  <c r="BE37" i="146" s="1"/>
  <c r="BH37" i="146" s="1"/>
  <c r="BK37" i="146" s="1"/>
  <c r="BN37" i="146" s="1"/>
  <c r="BQ37" i="146" s="1"/>
  <c r="BT37" i="146" s="1"/>
  <c r="BW37" i="146" s="1"/>
  <c r="BZ37" i="146" s="1"/>
  <c r="CC37" i="146" s="1"/>
  <c r="CF37" i="146" s="1"/>
  <c r="CI37" i="146" s="1"/>
  <c r="CL37" i="146" s="1"/>
  <c r="CO37" i="146" s="1"/>
  <c r="CR37" i="146" s="1"/>
  <c r="CU37" i="146" s="1"/>
  <c r="CW36" i="146"/>
  <c r="I36" i="146"/>
  <c r="L36" i="146" s="1"/>
  <c r="O36" i="146" s="1"/>
  <c r="R36" i="146" s="1"/>
  <c r="U36" i="146" s="1"/>
  <c r="X36" i="146" s="1"/>
  <c r="AA36" i="146" s="1"/>
  <c r="AD36" i="146" s="1"/>
  <c r="AG36" i="146" s="1"/>
  <c r="AJ36" i="146" s="1"/>
  <c r="AM36" i="146" s="1"/>
  <c r="AP36" i="146" s="1"/>
  <c r="AS36" i="146" s="1"/>
  <c r="AV36" i="146" s="1"/>
  <c r="AY36" i="146" s="1"/>
  <c r="BB36" i="146" s="1"/>
  <c r="BE36" i="146" s="1"/>
  <c r="BH36" i="146" s="1"/>
  <c r="BK36" i="146" s="1"/>
  <c r="BN36" i="146" s="1"/>
  <c r="BQ36" i="146" s="1"/>
  <c r="BT36" i="146" s="1"/>
  <c r="BW36" i="146" s="1"/>
  <c r="BZ36" i="146" s="1"/>
  <c r="CC36" i="146" s="1"/>
  <c r="CF36" i="146" s="1"/>
  <c r="CI36" i="146" s="1"/>
  <c r="CL36" i="146" s="1"/>
  <c r="CO36" i="146" s="1"/>
  <c r="CR36" i="146" s="1"/>
  <c r="CU36" i="146" s="1"/>
  <c r="CV36" i="146"/>
  <c r="CW35" i="146"/>
  <c r="CV35" i="146"/>
  <c r="I35" i="146"/>
  <c r="L35" i="146" s="1"/>
  <c r="O35" i="146" s="1"/>
  <c r="R35" i="146" s="1"/>
  <c r="U35" i="146" s="1"/>
  <c r="X35" i="146" s="1"/>
  <c r="AA35" i="146" s="1"/>
  <c r="AD35" i="146" s="1"/>
  <c r="AG35" i="146" s="1"/>
  <c r="AJ35" i="146" s="1"/>
  <c r="AM35" i="146" s="1"/>
  <c r="AP35" i="146" s="1"/>
  <c r="AS35" i="146" s="1"/>
  <c r="AV35" i="146" s="1"/>
  <c r="AY35" i="146" s="1"/>
  <c r="BB35" i="146" s="1"/>
  <c r="BE35" i="146" s="1"/>
  <c r="BH35" i="146" s="1"/>
  <c r="BK35" i="146" s="1"/>
  <c r="BN35" i="146" s="1"/>
  <c r="BQ35" i="146" s="1"/>
  <c r="BT35" i="146" s="1"/>
  <c r="BW35" i="146" s="1"/>
  <c r="BZ35" i="146" s="1"/>
  <c r="CC35" i="146" s="1"/>
  <c r="CF35" i="146" s="1"/>
  <c r="CI35" i="146" s="1"/>
  <c r="CL35" i="146" s="1"/>
  <c r="CO35" i="146" s="1"/>
  <c r="CR35" i="146" s="1"/>
  <c r="CU35" i="146" s="1"/>
  <c r="CW34" i="146"/>
  <c r="CV34" i="146"/>
  <c r="I34" i="146"/>
  <c r="L34" i="146" s="1"/>
  <c r="O34" i="146" s="1"/>
  <c r="R34" i="146" s="1"/>
  <c r="U34" i="146" s="1"/>
  <c r="X34" i="146" s="1"/>
  <c r="AA34" i="146" s="1"/>
  <c r="AD34" i="146" s="1"/>
  <c r="AG34" i="146" s="1"/>
  <c r="AJ34" i="146" s="1"/>
  <c r="AM34" i="146" s="1"/>
  <c r="AP34" i="146" s="1"/>
  <c r="AS34" i="146" s="1"/>
  <c r="AV34" i="146" s="1"/>
  <c r="AY34" i="146" s="1"/>
  <c r="BB34" i="146" s="1"/>
  <c r="BE34" i="146" s="1"/>
  <c r="BH34" i="146" s="1"/>
  <c r="BK34" i="146" s="1"/>
  <c r="BN34" i="146" s="1"/>
  <c r="BQ34" i="146" s="1"/>
  <c r="BT34" i="146" s="1"/>
  <c r="BW34" i="146" s="1"/>
  <c r="BZ34" i="146" s="1"/>
  <c r="CC34" i="146" s="1"/>
  <c r="CF34" i="146" s="1"/>
  <c r="CI34" i="146" s="1"/>
  <c r="CL34" i="146" s="1"/>
  <c r="CO34" i="146" s="1"/>
  <c r="CR34" i="146" s="1"/>
  <c r="CU34" i="146" s="1"/>
  <c r="CW33" i="146"/>
  <c r="CV33" i="146"/>
  <c r="I33" i="146"/>
  <c r="L33" i="146" s="1"/>
  <c r="O33" i="146" s="1"/>
  <c r="R33" i="146" s="1"/>
  <c r="U33" i="146" s="1"/>
  <c r="X33" i="146" s="1"/>
  <c r="AA33" i="146" s="1"/>
  <c r="AD33" i="146" s="1"/>
  <c r="AG33" i="146" s="1"/>
  <c r="AJ33" i="146" s="1"/>
  <c r="AM33" i="146" s="1"/>
  <c r="AP33" i="146" s="1"/>
  <c r="AS33" i="146" s="1"/>
  <c r="AV33" i="146" s="1"/>
  <c r="AY33" i="146" s="1"/>
  <c r="BB33" i="146" s="1"/>
  <c r="BE33" i="146" s="1"/>
  <c r="BH33" i="146" s="1"/>
  <c r="BK33" i="146" s="1"/>
  <c r="BN33" i="146" s="1"/>
  <c r="BQ33" i="146" s="1"/>
  <c r="BT33" i="146" s="1"/>
  <c r="BW33" i="146" s="1"/>
  <c r="BZ33" i="146" s="1"/>
  <c r="CC33" i="146" s="1"/>
  <c r="CF33" i="146" s="1"/>
  <c r="CI33" i="146" s="1"/>
  <c r="CL33" i="146" s="1"/>
  <c r="CO33" i="146" s="1"/>
  <c r="CR33" i="146" s="1"/>
  <c r="CU33" i="146" s="1"/>
  <c r="CV32" i="146"/>
  <c r="I32" i="146"/>
  <c r="L32" i="146" s="1"/>
  <c r="O32" i="146" s="1"/>
  <c r="R32" i="146" s="1"/>
  <c r="U32" i="146" s="1"/>
  <c r="X32" i="146" s="1"/>
  <c r="AA32" i="146" s="1"/>
  <c r="AD32" i="146" s="1"/>
  <c r="AG32" i="146" s="1"/>
  <c r="AJ32" i="146" s="1"/>
  <c r="AM32" i="146" s="1"/>
  <c r="AP32" i="146" s="1"/>
  <c r="AS32" i="146" s="1"/>
  <c r="AV32" i="146" s="1"/>
  <c r="AY32" i="146" s="1"/>
  <c r="BB32" i="146" s="1"/>
  <c r="BE32" i="146" s="1"/>
  <c r="BH32" i="146" s="1"/>
  <c r="BK32" i="146" s="1"/>
  <c r="BN32" i="146" s="1"/>
  <c r="BQ32" i="146" s="1"/>
  <c r="BT32" i="146" s="1"/>
  <c r="BW32" i="146" s="1"/>
  <c r="BZ32" i="146" s="1"/>
  <c r="CC32" i="146" s="1"/>
  <c r="CF32" i="146" s="1"/>
  <c r="CI32" i="146" s="1"/>
  <c r="CL32" i="146" s="1"/>
  <c r="CO32" i="146" s="1"/>
  <c r="CR32" i="146" s="1"/>
  <c r="CU32" i="146" s="1"/>
  <c r="CW31" i="146"/>
  <c r="CV31" i="146"/>
  <c r="I31" i="146"/>
  <c r="L31" i="146" s="1"/>
  <c r="O31" i="146" s="1"/>
  <c r="R31" i="146" s="1"/>
  <c r="U31" i="146" s="1"/>
  <c r="X31" i="146" s="1"/>
  <c r="AA31" i="146" s="1"/>
  <c r="AD31" i="146" s="1"/>
  <c r="AG31" i="146" s="1"/>
  <c r="AJ31" i="146" s="1"/>
  <c r="AM31" i="146" s="1"/>
  <c r="AP31" i="146" s="1"/>
  <c r="AS31" i="146" s="1"/>
  <c r="AV31" i="146" s="1"/>
  <c r="AY31" i="146" s="1"/>
  <c r="BB31" i="146" s="1"/>
  <c r="BE31" i="146" s="1"/>
  <c r="BH31" i="146" s="1"/>
  <c r="BK31" i="146" s="1"/>
  <c r="BN31" i="146" s="1"/>
  <c r="BQ31" i="146" s="1"/>
  <c r="BT31" i="146" s="1"/>
  <c r="BW31" i="146" s="1"/>
  <c r="BZ31" i="146" s="1"/>
  <c r="CC31" i="146" s="1"/>
  <c r="CF31" i="146" s="1"/>
  <c r="CI31" i="146" s="1"/>
  <c r="CL31" i="146" s="1"/>
  <c r="CO31" i="146" s="1"/>
  <c r="CR31" i="146" s="1"/>
  <c r="CU31" i="146" s="1"/>
  <c r="CW30" i="146"/>
  <c r="CV30" i="146"/>
  <c r="I30" i="146"/>
  <c r="L30" i="146" s="1"/>
  <c r="O30" i="146" s="1"/>
  <c r="R30" i="146" s="1"/>
  <c r="U30" i="146" s="1"/>
  <c r="X30" i="146" s="1"/>
  <c r="AA30" i="146" s="1"/>
  <c r="AD30" i="146" s="1"/>
  <c r="AG30" i="146" s="1"/>
  <c r="AJ30" i="146" s="1"/>
  <c r="AM30" i="146" s="1"/>
  <c r="AP30" i="146" s="1"/>
  <c r="AS30" i="146" s="1"/>
  <c r="AV30" i="146" s="1"/>
  <c r="AY30" i="146" s="1"/>
  <c r="BB30" i="146" s="1"/>
  <c r="BE30" i="146" s="1"/>
  <c r="BH30" i="146" s="1"/>
  <c r="BK30" i="146" s="1"/>
  <c r="BN30" i="146" s="1"/>
  <c r="BQ30" i="146" s="1"/>
  <c r="BT30" i="146" s="1"/>
  <c r="BW30" i="146" s="1"/>
  <c r="BZ30" i="146" s="1"/>
  <c r="CC30" i="146" s="1"/>
  <c r="CF30" i="146" s="1"/>
  <c r="CI30" i="146" s="1"/>
  <c r="CL30" i="146" s="1"/>
  <c r="CO30" i="146" s="1"/>
  <c r="CR30" i="146" s="1"/>
  <c r="CU30" i="146" s="1"/>
  <c r="CV29" i="146"/>
  <c r="CW29" i="146"/>
  <c r="I29" i="146"/>
  <c r="L29" i="146" s="1"/>
  <c r="CV28" i="146"/>
  <c r="I28" i="146"/>
  <c r="L28" i="146" s="1"/>
  <c r="O28" i="146" s="1"/>
  <c r="R28" i="146" s="1"/>
  <c r="U28" i="146" s="1"/>
  <c r="X28" i="146" s="1"/>
  <c r="AA28" i="146" s="1"/>
  <c r="AD28" i="146" s="1"/>
  <c r="AG28" i="146" s="1"/>
  <c r="AJ28" i="146" s="1"/>
  <c r="AM28" i="146" s="1"/>
  <c r="AP28" i="146" s="1"/>
  <c r="AS28" i="146" s="1"/>
  <c r="AV28" i="146" s="1"/>
  <c r="AY28" i="146" s="1"/>
  <c r="BB28" i="146" s="1"/>
  <c r="BE28" i="146" s="1"/>
  <c r="BH28" i="146" s="1"/>
  <c r="BK28" i="146" s="1"/>
  <c r="BN28" i="146" s="1"/>
  <c r="BQ28" i="146" s="1"/>
  <c r="BT28" i="146" s="1"/>
  <c r="BW28" i="146" s="1"/>
  <c r="BZ28" i="146" s="1"/>
  <c r="CC28" i="146" s="1"/>
  <c r="CF28" i="146" s="1"/>
  <c r="CI28" i="146" s="1"/>
  <c r="CL28" i="146" s="1"/>
  <c r="CO28" i="146" s="1"/>
  <c r="CR28" i="146" s="1"/>
  <c r="CU28" i="146" s="1"/>
  <c r="CV27" i="146"/>
  <c r="CW26" i="146"/>
  <c r="CV26" i="146"/>
  <c r="I26" i="146"/>
  <c r="L26" i="146" s="1"/>
  <c r="O26" i="146" s="1"/>
  <c r="R26" i="146" s="1"/>
  <c r="U26" i="146" s="1"/>
  <c r="X26" i="146" s="1"/>
  <c r="AA26" i="146" s="1"/>
  <c r="AD26" i="146" s="1"/>
  <c r="AG26" i="146" s="1"/>
  <c r="AJ26" i="146" s="1"/>
  <c r="AM26" i="146" s="1"/>
  <c r="AP26" i="146" s="1"/>
  <c r="AS26" i="146" s="1"/>
  <c r="AV26" i="146" s="1"/>
  <c r="AY26" i="146" s="1"/>
  <c r="BB26" i="146" s="1"/>
  <c r="BE26" i="146" s="1"/>
  <c r="BH26" i="146" s="1"/>
  <c r="BK26" i="146" s="1"/>
  <c r="BN26" i="146" s="1"/>
  <c r="BQ26" i="146" s="1"/>
  <c r="BT26" i="146" s="1"/>
  <c r="BW26" i="146" s="1"/>
  <c r="BZ26" i="146" s="1"/>
  <c r="CC26" i="146" s="1"/>
  <c r="CF26" i="146" s="1"/>
  <c r="CI26" i="146" s="1"/>
  <c r="CL26" i="146" s="1"/>
  <c r="CO26" i="146" s="1"/>
  <c r="CR26" i="146" s="1"/>
  <c r="CU26" i="146" s="1"/>
  <c r="CW24" i="146"/>
  <c r="CV24" i="146"/>
  <c r="I24" i="146"/>
  <c r="L24" i="146" s="1"/>
  <c r="O24" i="146" s="1"/>
  <c r="R24" i="146" s="1"/>
  <c r="U24" i="146" s="1"/>
  <c r="X24" i="146" s="1"/>
  <c r="AA24" i="146" s="1"/>
  <c r="AD24" i="146" s="1"/>
  <c r="AG24" i="146" s="1"/>
  <c r="AJ24" i="146" s="1"/>
  <c r="AM24" i="146" s="1"/>
  <c r="AP24" i="146" s="1"/>
  <c r="AS24" i="146" s="1"/>
  <c r="AV24" i="146" s="1"/>
  <c r="AY24" i="146" s="1"/>
  <c r="BB24" i="146" s="1"/>
  <c r="BE24" i="146" s="1"/>
  <c r="BH24" i="146" s="1"/>
  <c r="BK24" i="146" s="1"/>
  <c r="BN24" i="146" s="1"/>
  <c r="BQ24" i="146" s="1"/>
  <c r="BT24" i="146" s="1"/>
  <c r="BW24" i="146" s="1"/>
  <c r="BZ24" i="146" s="1"/>
  <c r="CC24" i="146" s="1"/>
  <c r="CF24" i="146" s="1"/>
  <c r="CI24" i="146" s="1"/>
  <c r="CL24" i="146" s="1"/>
  <c r="CO24" i="146" s="1"/>
  <c r="CR24" i="146" s="1"/>
  <c r="CU24" i="146" s="1"/>
  <c r="CW23" i="146"/>
  <c r="CV23" i="146"/>
  <c r="I23" i="146"/>
  <c r="L23" i="146" s="1"/>
  <c r="O23" i="146" s="1"/>
  <c r="R23" i="146" s="1"/>
  <c r="U23" i="146" s="1"/>
  <c r="X23" i="146" s="1"/>
  <c r="AA23" i="146" s="1"/>
  <c r="AD23" i="146" s="1"/>
  <c r="AG23" i="146" s="1"/>
  <c r="AJ23" i="146" s="1"/>
  <c r="AM23" i="146" s="1"/>
  <c r="AP23" i="146" s="1"/>
  <c r="AS23" i="146" s="1"/>
  <c r="AV23" i="146" s="1"/>
  <c r="AY23" i="146" s="1"/>
  <c r="BB23" i="146" s="1"/>
  <c r="BE23" i="146" s="1"/>
  <c r="BH23" i="146" s="1"/>
  <c r="BK23" i="146" s="1"/>
  <c r="BN23" i="146" s="1"/>
  <c r="BQ23" i="146" s="1"/>
  <c r="BT23" i="146" s="1"/>
  <c r="BW23" i="146" s="1"/>
  <c r="BZ23" i="146" s="1"/>
  <c r="CC23" i="146" s="1"/>
  <c r="CF23" i="146" s="1"/>
  <c r="CI23" i="146" s="1"/>
  <c r="CL23" i="146" s="1"/>
  <c r="CO23" i="146" s="1"/>
  <c r="CR23" i="146" s="1"/>
  <c r="CU23" i="146" s="1"/>
  <c r="CV22" i="146"/>
  <c r="I22" i="146"/>
  <c r="L22" i="146" s="1"/>
  <c r="O22" i="146" s="1"/>
  <c r="R22" i="146" s="1"/>
  <c r="U22" i="146" s="1"/>
  <c r="X22" i="146" s="1"/>
  <c r="AA22" i="146" s="1"/>
  <c r="AD22" i="146" s="1"/>
  <c r="AG22" i="146" s="1"/>
  <c r="AJ22" i="146" s="1"/>
  <c r="AM22" i="146" s="1"/>
  <c r="AP22" i="146" s="1"/>
  <c r="AS22" i="146" s="1"/>
  <c r="AV22" i="146" s="1"/>
  <c r="AY22" i="146" s="1"/>
  <c r="BB22" i="146" s="1"/>
  <c r="BE22" i="146" s="1"/>
  <c r="BH22" i="146" s="1"/>
  <c r="BK22" i="146" s="1"/>
  <c r="BN22" i="146" s="1"/>
  <c r="BQ22" i="146" s="1"/>
  <c r="BT22" i="146" s="1"/>
  <c r="BW22" i="146" s="1"/>
  <c r="BZ22" i="146" s="1"/>
  <c r="CC22" i="146" s="1"/>
  <c r="CF22" i="146" s="1"/>
  <c r="CI22" i="146" s="1"/>
  <c r="CL22" i="146" s="1"/>
  <c r="CO22" i="146" s="1"/>
  <c r="CR22" i="146" s="1"/>
  <c r="CU22" i="146" s="1"/>
  <c r="CW21" i="146"/>
  <c r="CV21" i="146"/>
  <c r="I21" i="146"/>
  <c r="L21" i="146" s="1"/>
  <c r="O21" i="146" s="1"/>
  <c r="R21" i="146" s="1"/>
  <c r="U21" i="146" s="1"/>
  <c r="X21" i="146" s="1"/>
  <c r="AA21" i="146" s="1"/>
  <c r="AD21" i="146" s="1"/>
  <c r="AG21" i="146" s="1"/>
  <c r="AJ21" i="146" s="1"/>
  <c r="AM21" i="146" s="1"/>
  <c r="AP21" i="146" s="1"/>
  <c r="AS21" i="146" s="1"/>
  <c r="AV21" i="146" s="1"/>
  <c r="AY21" i="146" s="1"/>
  <c r="BB21" i="146" s="1"/>
  <c r="BE21" i="146" s="1"/>
  <c r="BH21" i="146" s="1"/>
  <c r="BK21" i="146" s="1"/>
  <c r="BN21" i="146" s="1"/>
  <c r="BQ21" i="146" s="1"/>
  <c r="BT21" i="146" s="1"/>
  <c r="BW21" i="146" s="1"/>
  <c r="BZ21" i="146" s="1"/>
  <c r="CC21" i="146" s="1"/>
  <c r="CF21" i="146" s="1"/>
  <c r="CI21" i="146" s="1"/>
  <c r="CL21" i="146" s="1"/>
  <c r="CO21" i="146" s="1"/>
  <c r="CR21" i="146" s="1"/>
  <c r="CU21" i="146" s="1"/>
  <c r="CW20" i="146"/>
  <c r="CV20" i="146"/>
  <c r="I20" i="146"/>
  <c r="L20" i="146" s="1"/>
  <c r="O20" i="146" s="1"/>
  <c r="R20" i="146" s="1"/>
  <c r="U20" i="146" s="1"/>
  <c r="X20" i="146" s="1"/>
  <c r="AA20" i="146" s="1"/>
  <c r="AD20" i="146" s="1"/>
  <c r="AG20" i="146" s="1"/>
  <c r="AJ20" i="146" s="1"/>
  <c r="AM20" i="146" s="1"/>
  <c r="AP20" i="146" s="1"/>
  <c r="AS20" i="146" s="1"/>
  <c r="AV20" i="146" s="1"/>
  <c r="AY20" i="146" s="1"/>
  <c r="BB20" i="146" s="1"/>
  <c r="BE20" i="146" s="1"/>
  <c r="BH20" i="146" s="1"/>
  <c r="BK20" i="146" s="1"/>
  <c r="BN20" i="146" s="1"/>
  <c r="BQ20" i="146" s="1"/>
  <c r="BT20" i="146" s="1"/>
  <c r="BW20" i="146" s="1"/>
  <c r="BZ20" i="146" s="1"/>
  <c r="CC20" i="146" s="1"/>
  <c r="CF20" i="146" s="1"/>
  <c r="CI20" i="146" s="1"/>
  <c r="CL20" i="146" s="1"/>
  <c r="CO20" i="146" s="1"/>
  <c r="CR20" i="146" s="1"/>
  <c r="CU20" i="146" s="1"/>
  <c r="CV19" i="146"/>
  <c r="I19" i="146"/>
  <c r="L19" i="146" s="1"/>
  <c r="O19" i="146" s="1"/>
  <c r="R19" i="146" s="1"/>
  <c r="U19" i="146" s="1"/>
  <c r="X19" i="146" s="1"/>
  <c r="AA19" i="146" s="1"/>
  <c r="AD19" i="146" s="1"/>
  <c r="AG19" i="146" s="1"/>
  <c r="AJ19" i="146" s="1"/>
  <c r="AM19" i="146" s="1"/>
  <c r="AP19" i="146" s="1"/>
  <c r="AS19" i="146" s="1"/>
  <c r="AV19" i="146" s="1"/>
  <c r="AY19" i="146" s="1"/>
  <c r="BB19" i="146" s="1"/>
  <c r="BE19" i="146" s="1"/>
  <c r="BH19" i="146" s="1"/>
  <c r="BK19" i="146" s="1"/>
  <c r="BN19" i="146" s="1"/>
  <c r="BQ19" i="146" s="1"/>
  <c r="BT19" i="146" s="1"/>
  <c r="BW19" i="146" s="1"/>
  <c r="BZ19" i="146" s="1"/>
  <c r="CC19" i="146" s="1"/>
  <c r="CF19" i="146" s="1"/>
  <c r="CI19" i="146" s="1"/>
  <c r="CL19" i="146" s="1"/>
  <c r="CO19" i="146" s="1"/>
  <c r="CR19" i="146" s="1"/>
  <c r="CU19" i="146" s="1"/>
  <c r="CV18" i="146"/>
  <c r="CW18" i="146"/>
  <c r="I18" i="146"/>
  <c r="L18" i="146" s="1"/>
  <c r="O18" i="146" s="1"/>
  <c r="CW17" i="146"/>
  <c r="CV17" i="146"/>
  <c r="CW16" i="146"/>
  <c r="CV15" i="146"/>
  <c r="CW15" i="146"/>
  <c r="I15" i="146"/>
  <c r="L15" i="146" s="1"/>
  <c r="O15" i="146" s="1"/>
  <c r="R15" i="146" s="1"/>
  <c r="U15" i="146" s="1"/>
  <c r="X15" i="146" s="1"/>
  <c r="AA15" i="146" s="1"/>
  <c r="AD15" i="146" s="1"/>
  <c r="AG15" i="146" s="1"/>
  <c r="AJ15" i="146" s="1"/>
  <c r="AM15" i="146" s="1"/>
  <c r="AP15" i="146" s="1"/>
  <c r="AS15" i="146" s="1"/>
  <c r="AV15" i="146" s="1"/>
  <c r="AY15" i="146" s="1"/>
  <c r="BB15" i="146" s="1"/>
  <c r="BE15" i="146" s="1"/>
  <c r="BH15" i="146" s="1"/>
  <c r="BK15" i="146" s="1"/>
  <c r="BN15" i="146" s="1"/>
  <c r="BQ15" i="146" s="1"/>
  <c r="BT15" i="146" s="1"/>
  <c r="BW15" i="146" s="1"/>
  <c r="BZ15" i="146" s="1"/>
  <c r="CC15" i="146" s="1"/>
  <c r="CF15" i="146" s="1"/>
  <c r="CI15" i="146" s="1"/>
  <c r="CL15" i="146" s="1"/>
  <c r="CO15" i="146" s="1"/>
  <c r="CR15" i="146" s="1"/>
  <c r="CU15" i="146" s="1"/>
  <c r="CV14" i="146"/>
  <c r="CW14" i="146"/>
  <c r="I14" i="146"/>
  <c r="L14" i="146" s="1"/>
  <c r="O14" i="146" s="1"/>
  <c r="R14" i="146" s="1"/>
  <c r="U14" i="146" s="1"/>
  <c r="X14" i="146" s="1"/>
  <c r="AA14" i="146" s="1"/>
  <c r="AD14" i="146" s="1"/>
  <c r="AG14" i="146" s="1"/>
  <c r="AJ14" i="146" s="1"/>
  <c r="AM14" i="146" s="1"/>
  <c r="AP14" i="146" s="1"/>
  <c r="AS14" i="146" s="1"/>
  <c r="AV14" i="146" s="1"/>
  <c r="AY14" i="146" s="1"/>
  <c r="BB14" i="146" s="1"/>
  <c r="BE14" i="146" s="1"/>
  <c r="BH14" i="146" s="1"/>
  <c r="BK14" i="146" s="1"/>
  <c r="BN14" i="146" s="1"/>
  <c r="BQ14" i="146" s="1"/>
  <c r="BT14" i="146" s="1"/>
  <c r="BW14" i="146" s="1"/>
  <c r="BZ14" i="146" s="1"/>
  <c r="CC14" i="146" s="1"/>
  <c r="CF14" i="146" s="1"/>
  <c r="CI14" i="146" s="1"/>
  <c r="CL14" i="146" s="1"/>
  <c r="CO14" i="146" s="1"/>
  <c r="CR14" i="146" s="1"/>
  <c r="CU14" i="146" s="1"/>
  <c r="CV13" i="146"/>
  <c r="CW13" i="146"/>
  <c r="I13" i="146"/>
  <c r="L13" i="146" s="1"/>
  <c r="O13" i="146" s="1"/>
  <c r="R13" i="146" s="1"/>
  <c r="U13" i="146" s="1"/>
  <c r="X13" i="146" s="1"/>
  <c r="AA13" i="146" s="1"/>
  <c r="AD13" i="146" s="1"/>
  <c r="AG13" i="146" s="1"/>
  <c r="AJ13" i="146" s="1"/>
  <c r="AM13" i="146" s="1"/>
  <c r="AP13" i="146" s="1"/>
  <c r="AS13" i="146" s="1"/>
  <c r="AV13" i="146" s="1"/>
  <c r="AY13" i="146" s="1"/>
  <c r="BB13" i="146" s="1"/>
  <c r="BE13" i="146" s="1"/>
  <c r="BH13" i="146" s="1"/>
  <c r="BK13" i="146" s="1"/>
  <c r="BN13" i="146" s="1"/>
  <c r="BQ13" i="146" s="1"/>
  <c r="BT13" i="146" s="1"/>
  <c r="BW13" i="146" s="1"/>
  <c r="BZ13" i="146" s="1"/>
  <c r="CC13" i="146" s="1"/>
  <c r="CF13" i="146" s="1"/>
  <c r="CI13" i="146" s="1"/>
  <c r="CL13" i="146" s="1"/>
  <c r="CO13" i="146" s="1"/>
  <c r="CR13" i="146" s="1"/>
  <c r="CU13" i="146" s="1"/>
  <c r="CV12" i="146"/>
  <c r="I12" i="146"/>
  <c r="L12" i="146" s="1"/>
  <c r="O12" i="146" s="1"/>
  <c r="R12" i="146" s="1"/>
  <c r="U12" i="146" s="1"/>
  <c r="X12" i="146" s="1"/>
  <c r="AA12" i="146" s="1"/>
  <c r="AD12" i="146" s="1"/>
  <c r="AG12" i="146" s="1"/>
  <c r="AJ12" i="146" s="1"/>
  <c r="AM12" i="146" s="1"/>
  <c r="AP12" i="146" s="1"/>
  <c r="AS12" i="146" s="1"/>
  <c r="AV12" i="146" s="1"/>
  <c r="AY12" i="146" s="1"/>
  <c r="BB12" i="146" s="1"/>
  <c r="BE12" i="146" s="1"/>
  <c r="BH12" i="146" s="1"/>
  <c r="BK12" i="146" s="1"/>
  <c r="BN12" i="146" s="1"/>
  <c r="BQ12" i="146" s="1"/>
  <c r="BT12" i="146" s="1"/>
  <c r="BW12" i="146" s="1"/>
  <c r="BZ12" i="146" s="1"/>
  <c r="CC12" i="146" s="1"/>
  <c r="CF12" i="146" s="1"/>
  <c r="CI12" i="146" s="1"/>
  <c r="CL12" i="146" s="1"/>
  <c r="CO12" i="146" s="1"/>
  <c r="CR12" i="146" s="1"/>
  <c r="CU12" i="146" s="1"/>
  <c r="CW11" i="146"/>
  <c r="CV11" i="146"/>
  <c r="I11" i="146"/>
  <c r="L11" i="146" s="1"/>
  <c r="O11" i="146" s="1"/>
  <c r="R11" i="146" s="1"/>
  <c r="U11" i="146" s="1"/>
  <c r="X11" i="146" s="1"/>
  <c r="AA11" i="146" s="1"/>
  <c r="AD11" i="146" s="1"/>
  <c r="AG11" i="146" s="1"/>
  <c r="AJ11" i="146" s="1"/>
  <c r="AM11" i="146" s="1"/>
  <c r="AP11" i="146" s="1"/>
  <c r="AS11" i="146" s="1"/>
  <c r="AV11" i="146" s="1"/>
  <c r="AY11" i="146" s="1"/>
  <c r="BB11" i="146" s="1"/>
  <c r="BE11" i="146" s="1"/>
  <c r="BH11" i="146" s="1"/>
  <c r="BK11" i="146" s="1"/>
  <c r="BN11" i="146" s="1"/>
  <c r="BQ11" i="146" s="1"/>
  <c r="BT11" i="146" s="1"/>
  <c r="BW11" i="146" s="1"/>
  <c r="BZ11" i="146" s="1"/>
  <c r="CC11" i="146" s="1"/>
  <c r="CF11" i="146" s="1"/>
  <c r="CI11" i="146" s="1"/>
  <c r="CL11" i="146" s="1"/>
  <c r="CO11" i="146" s="1"/>
  <c r="CR11" i="146" s="1"/>
  <c r="CU11" i="146" s="1"/>
  <c r="CW10" i="146"/>
  <c r="CV10" i="146"/>
  <c r="I10" i="146"/>
  <c r="L10" i="146" s="1"/>
  <c r="O10" i="146" s="1"/>
  <c r="R10" i="146" s="1"/>
  <c r="U10" i="146" s="1"/>
  <c r="X10" i="146" s="1"/>
  <c r="AA10" i="146" s="1"/>
  <c r="AD10" i="146" s="1"/>
  <c r="AG10" i="146" s="1"/>
  <c r="AJ10" i="146" s="1"/>
  <c r="AM10" i="146" s="1"/>
  <c r="AP10" i="146" s="1"/>
  <c r="AS10" i="146" s="1"/>
  <c r="AV10" i="146" s="1"/>
  <c r="AY10" i="146" s="1"/>
  <c r="BB10" i="146" s="1"/>
  <c r="BE10" i="146" s="1"/>
  <c r="BH10" i="146" s="1"/>
  <c r="BK10" i="146" s="1"/>
  <c r="BN10" i="146" s="1"/>
  <c r="BQ10" i="146" s="1"/>
  <c r="BT10" i="146" s="1"/>
  <c r="BW10" i="146" s="1"/>
  <c r="BZ10" i="146" s="1"/>
  <c r="CC10" i="146" s="1"/>
  <c r="CF10" i="146" s="1"/>
  <c r="CI10" i="146" s="1"/>
  <c r="CL10" i="146" s="1"/>
  <c r="CO10" i="146" s="1"/>
  <c r="CR10" i="146" s="1"/>
  <c r="CU10" i="146" s="1"/>
  <c r="CW9" i="146"/>
  <c r="CV9" i="146"/>
  <c r="I9" i="146"/>
  <c r="L9" i="146" s="1"/>
  <c r="O9" i="146" s="1"/>
  <c r="R9" i="146" s="1"/>
  <c r="U9" i="146" s="1"/>
  <c r="X9" i="146" s="1"/>
  <c r="AA9" i="146" s="1"/>
  <c r="AD9" i="146" s="1"/>
  <c r="AG9" i="146" s="1"/>
  <c r="AJ9" i="146" s="1"/>
  <c r="AM9" i="146" s="1"/>
  <c r="AP9" i="146" s="1"/>
  <c r="AS9" i="146" s="1"/>
  <c r="AV9" i="146" s="1"/>
  <c r="AY9" i="146" s="1"/>
  <c r="BB9" i="146" s="1"/>
  <c r="BE9" i="146" s="1"/>
  <c r="BH9" i="146" s="1"/>
  <c r="BK9" i="146" s="1"/>
  <c r="BN9" i="146" s="1"/>
  <c r="BQ9" i="146" s="1"/>
  <c r="BT9" i="146" s="1"/>
  <c r="BW9" i="146" s="1"/>
  <c r="BZ9" i="146" s="1"/>
  <c r="CC9" i="146" s="1"/>
  <c r="CF9" i="146" s="1"/>
  <c r="CI9" i="146" s="1"/>
  <c r="CL9" i="146" s="1"/>
  <c r="CO9" i="146" s="1"/>
  <c r="CR9" i="146" s="1"/>
  <c r="CU9" i="146" s="1"/>
  <c r="CW8" i="146"/>
  <c r="CV8" i="146"/>
  <c r="I8" i="146"/>
  <c r="L8" i="146" s="1"/>
  <c r="O8" i="146" s="1"/>
  <c r="R8" i="146" s="1"/>
  <c r="U8" i="146" s="1"/>
  <c r="X8" i="146" s="1"/>
  <c r="AA8" i="146" s="1"/>
  <c r="AD8" i="146" s="1"/>
  <c r="AG8" i="146" s="1"/>
  <c r="AJ8" i="146" s="1"/>
  <c r="AM8" i="146" s="1"/>
  <c r="AP8" i="146" s="1"/>
  <c r="AS8" i="146" s="1"/>
  <c r="AV8" i="146" s="1"/>
  <c r="AY8" i="146" s="1"/>
  <c r="BB8" i="146" s="1"/>
  <c r="BE8" i="146" s="1"/>
  <c r="BH8" i="146" s="1"/>
  <c r="BK8" i="146" s="1"/>
  <c r="BN8" i="146" s="1"/>
  <c r="BQ8" i="146" s="1"/>
  <c r="BT8" i="146" s="1"/>
  <c r="BW8" i="146" s="1"/>
  <c r="BZ8" i="146" s="1"/>
  <c r="CC8" i="146" s="1"/>
  <c r="CF8" i="146" s="1"/>
  <c r="CI8" i="146" s="1"/>
  <c r="CL8" i="146" s="1"/>
  <c r="CO8" i="146" s="1"/>
  <c r="CR8" i="146" s="1"/>
  <c r="CU8" i="146" s="1"/>
  <c r="CW7" i="146"/>
  <c r="CV7" i="146"/>
  <c r="I7" i="146"/>
  <c r="L7" i="146" s="1"/>
  <c r="O7" i="146" s="1"/>
  <c r="R7" i="146" s="1"/>
  <c r="U7" i="146" s="1"/>
  <c r="X7" i="146" s="1"/>
  <c r="AA7" i="146" s="1"/>
  <c r="AD7" i="146" s="1"/>
  <c r="AG7" i="146" s="1"/>
  <c r="AJ7" i="146" s="1"/>
  <c r="AM7" i="146" s="1"/>
  <c r="AP7" i="146" s="1"/>
  <c r="AS7" i="146" s="1"/>
  <c r="AV7" i="146" s="1"/>
  <c r="AY7" i="146" s="1"/>
  <c r="BB7" i="146" s="1"/>
  <c r="BE7" i="146" s="1"/>
  <c r="BH7" i="146" s="1"/>
  <c r="BK7" i="146" s="1"/>
  <c r="BN7" i="146" s="1"/>
  <c r="BQ7" i="146" s="1"/>
  <c r="BT7" i="146" s="1"/>
  <c r="BW7" i="146" s="1"/>
  <c r="BZ7" i="146" s="1"/>
  <c r="CC7" i="146" s="1"/>
  <c r="CF7" i="146" s="1"/>
  <c r="CI7" i="146" s="1"/>
  <c r="CL7" i="146" s="1"/>
  <c r="CO7" i="146" s="1"/>
  <c r="CR7" i="146" s="1"/>
  <c r="CU7" i="146" s="1"/>
  <c r="CV6" i="146"/>
  <c r="CW6" i="146"/>
  <c r="CW5" i="146"/>
  <c r="CV5" i="146"/>
  <c r="I5" i="146"/>
  <c r="L5" i="146" s="1"/>
  <c r="O5" i="146" s="1"/>
  <c r="R5" i="146" s="1"/>
  <c r="U5" i="146" s="1"/>
  <c r="X5" i="146" s="1"/>
  <c r="AA5" i="146" s="1"/>
  <c r="AD5" i="146" s="1"/>
  <c r="AG5" i="146" s="1"/>
  <c r="AJ5" i="146" s="1"/>
  <c r="AM5" i="146" s="1"/>
  <c r="AP5" i="146" s="1"/>
  <c r="AS5" i="146" s="1"/>
  <c r="AV5" i="146" s="1"/>
  <c r="AY5" i="146" s="1"/>
  <c r="BB5" i="146" s="1"/>
  <c r="BE5" i="146" s="1"/>
  <c r="BH5" i="146" s="1"/>
  <c r="BK5" i="146" s="1"/>
  <c r="BN5" i="146" s="1"/>
  <c r="BQ5" i="146" s="1"/>
  <c r="BT5" i="146" s="1"/>
  <c r="BW5" i="146" s="1"/>
  <c r="BZ5" i="146" s="1"/>
  <c r="CC5" i="146" s="1"/>
  <c r="CF5" i="146" s="1"/>
  <c r="CI5" i="146" s="1"/>
  <c r="CL5" i="146" s="1"/>
  <c r="CO5" i="146" s="1"/>
  <c r="CR5" i="146" s="1"/>
  <c r="CU5" i="146" s="1"/>
  <c r="CJ76" i="143"/>
  <c r="CJ50" i="143"/>
  <c r="CJ39" i="143"/>
  <c r="CJ35" i="143"/>
  <c r="CJ32" i="143"/>
  <c r="CJ29" i="143"/>
  <c r="CJ21" i="143"/>
  <c r="CJ17" i="143"/>
  <c r="CK76" i="143"/>
  <c r="CK59" i="143"/>
  <c r="CK29" i="143"/>
  <c r="CK32" i="143"/>
  <c r="CK15" i="143"/>
  <c r="BE70" i="146" l="1"/>
  <c r="BH70" i="146" s="1"/>
  <c r="BK70" i="146" s="1"/>
  <c r="BN70" i="146" s="1"/>
  <c r="BQ70" i="146" s="1"/>
  <c r="BT70" i="146" s="1"/>
  <c r="BW70" i="146" s="1"/>
  <c r="BZ70" i="146" s="1"/>
  <c r="CC70" i="146" s="1"/>
  <c r="CF70" i="146" s="1"/>
  <c r="CI70" i="146" s="1"/>
  <c r="CL70" i="146" s="1"/>
  <c r="CO70" i="146" s="1"/>
  <c r="CR70" i="146" s="1"/>
  <c r="CU70" i="146" s="1"/>
  <c r="DB40" i="146"/>
  <c r="DE40" i="146" s="1"/>
  <c r="CX40" i="146"/>
  <c r="CZ40" i="146" s="1"/>
  <c r="CX5" i="146"/>
  <c r="CZ5" i="146" s="1"/>
  <c r="DB5" i="146"/>
  <c r="DE5" i="146" s="1"/>
  <c r="CX19" i="146"/>
  <c r="CZ19" i="146" s="1"/>
  <c r="DB19" i="146"/>
  <c r="DE19" i="146" s="1"/>
  <c r="DB31" i="146"/>
  <c r="DE31" i="146" s="1"/>
  <c r="CX31" i="146"/>
  <c r="CZ31" i="146" s="1"/>
  <c r="CX38" i="146"/>
  <c r="CZ38" i="146" s="1"/>
  <c r="DB38" i="146"/>
  <c r="DE38" i="146" s="1"/>
  <c r="CX11" i="146"/>
  <c r="CZ11" i="146" s="1"/>
  <c r="DB11" i="146"/>
  <c r="DE11" i="146" s="1"/>
  <c r="DB36" i="146"/>
  <c r="DE36" i="146" s="1"/>
  <c r="CX36" i="146"/>
  <c r="CZ36" i="146" s="1"/>
  <c r="CX44" i="146"/>
  <c r="CZ44" i="146" s="1"/>
  <c r="DB44" i="146"/>
  <c r="DE44" i="146" s="1"/>
  <c r="DB52" i="146"/>
  <c r="DE52" i="146" s="1"/>
  <c r="CX52" i="146"/>
  <c r="CZ52" i="146" s="1"/>
  <c r="CX58" i="146"/>
  <c r="CZ58" i="146" s="1"/>
  <c r="DB58" i="146"/>
  <c r="DE58" i="146" s="1"/>
  <c r="DB33" i="146"/>
  <c r="DE33" i="146" s="1"/>
  <c r="CX33" i="146"/>
  <c r="CZ33" i="146" s="1"/>
  <c r="CX55" i="146"/>
  <c r="CZ55" i="146" s="1"/>
  <c r="DB55" i="146"/>
  <c r="DE55" i="146" s="1"/>
  <c r="DB26" i="146"/>
  <c r="DE26" i="146" s="1"/>
  <c r="CX26" i="146"/>
  <c r="CZ26" i="146" s="1"/>
  <c r="CX12" i="146"/>
  <c r="CZ12" i="146" s="1"/>
  <c r="DB12" i="146"/>
  <c r="DE12" i="146" s="1"/>
  <c r="DB8" i="146"/>
  <c r="DE8" i="146" s="1"/>
  <c r="CX8" i="146"/>
  <c r="CZ8" i="146" s="1"/>
  <c r="DB23" i="146"/>
  <c r="DE23" i="146" s="1"/>
  <c r="CX23" i="146"/>
  <c r="CZ23" i="146" s="1"/>
  <c r="DB22" i="146"/>
  <c r="DE22" i="146" s="1"/>
  <c r="CX22" i="146"/>
  <c r="CZ22" i="146" s="1"/>
  <c r="DB62" i="146"/>
  <c r="DE62" i="146" s="1"/>
  <c r="CX62" i="146"/>
  <c r="CZ62" i="146" s="1"/>
  <c r="DB39" i="146"/>
  <c r="DE39" i="146" s="1"/>
  <c r="CX39" i="146"/>
  <c r="CZ39" i="146" s="1"/>
  <c r="CX41" i="146"/>
  <c r="CZ41" i="146" s="1"/>
  <c r="DB41" i="146"/>
  <c r="DE41" i="146" s="1"/>
  <c r="DB49" i="146"/>
  <c r="DE49" i="146" s="1"/>
  <c r="CX49" i="146"/>
  <c r="CZ49" i="146" s="1"/>
  <c r="DB9" i="146"/>
  <c r="DE9" i="146" s="1"/>
  <c r="CX9" i="146"/>
  <c r="CZ9" i="146" s="1"/>
  <c r="CX32" i="146"/>
  <c r="CZ32" i="146" s="1"/>
  <c r="DB32" i="146"/>
  <c r="DE32" i="146" s="1"/>
  <c r="CX45" i="146"/>
  <c r="CZ45" i="146" s="1"/>
  <c r="DB45" i="146"/>
  <c r="DE45" i="146" s="1"/>
  <c r="DB56" i="146"/>
  <c r="DE56" i="146" s="1"/>
  <c r="CX56" i="146"/>
  <c r="CZ56" i="146" s="1"/>
  <c r="DB66" i="146"/>
  <c r="DE66" i="146" s="1"/>
  <c r="CX66" i="146"/>
  <c r="CZ66" i="146" s="1"/>
  <c r="DB20" i="146"/>
  <c r="DE20" i="146" s="1"/>
  <c r="CX20" i="146"/>
  <c r="CZ20" i="146" s="1"/>
  <c r="CX34" i="146"/>
  <c r="CZ34" i="146" s="1"/>
  <c r="DB34" i="146"/>
  <c r="DE34" i="146" s="1"/>
  <c r="CX10" i="146"/>
  <c r="CZ10" i="146" s="1"/>
  <c r="DB10" i="146"/>
  <c r="DE10" i="146" s="1"/>
  <c r="CX50" i="146"/>
  <c r="CZ50" i="146" s="1"/>
  <c r="DB50" i="146"/>
  <c r="DE50" i="146" s="1"/>
  <c r="DB63" i="146"/>
  <c r="DE63" i="146" s="1"/>
  <c r="CX63" i="146"/>
  <c r="CZ63" i="146" s="1"/>
  <c r="CX13" i="146"/>
  <c r="CZ13" i="146" s="1"/>
  <c r="DB13" i="146"/>
  <c r="DE13" i="146" s="1"/>
  <c r="DB37" i="146"/>
  <c r="DE37" i="146" s="1"/>
  <c r="CX37" i="146"/>
  <c r="CZ37" i="146" s="1"/>
  <c r="DB35" i="146"/>
  <c r="DE35" i="146" s="1"/>
  <c r="CX35" i="146"/>
  <c r="CZ35" i="146" s="1"/>
  <c r="CX24" i="146"/>
  <c r="CZ24" i="146" s="1"/>
  <c r="DB24" i="146"/>
  <c r="DE24" i="146" s="1"/>
  <c r="CX14" i="146"/>
  <c r="CZ14" i="146" s="1"/>
  <c r="DB14" i="146"/>
  <c r="DE14" i="146" s="1"/>
  <c r="CX42" i="146"/>
  <c r="CZ42" i="146" s="1"/>
  <c r="DB42" i="146"/>
  <c r="DE42" i="146" s="1"/>
  <c r="DB21" i="146"/>
  <c r="DE21" i="146" s="1"/>
  <c r="CX21" i="146"/>
  <c r="CZ21" i="146" s="1"/>
  <c r="CX54" i="146"/>
  <c r="CZ54" i="146" s="1"/>
  <c r="DB54" i="146"/>
  <c r="DE54" i="146" s="1"/>
  <c r="DB30" i="146"/>
  <c r="DE30" i="146" s="1"/>
  <c r="CX30" i="146"/>
  <c r="CZ30" i="146" s="1"/>
  <c r="CX15" i="146"/>
  <c r="CZ15" i="146" s="1"/>
  <c r="DB15" i="146"/>
  <c r="DE15" i="146" s="1"/>
  <c r="DB57" i="146"/>
  <c r="DE57" i="146" s="1"/>
  <c r="CX57" i="146"/>
  <c r="CZ57" i="146" s="1"/>
  <c r="DB47" i="146"/>
  <c r="DE47" i="146" s="1"/>
  <c r="CX47" i="146"/>
  <c r="CZ47" i="146" s="1"/>
  <c r="DB51" i="146"/>
  <c r="DE51" i="146" s="1"/>
  <c r="CX51" i="146"/>
  <c r="CZ51" i="146" s="1"/>
  <c r="DB61" i="146"/>
  <c r="DE61" i="146" s="1"/>
  <c r="CX61" i="146"/>
  <c r="CZ61" i="146" s="1"/>
  <c r="DB7" i="146"/>
  <c r="DE7" i="146" s="1"/>
  <c r="CX7" i="146"/>
  <c r="CZ7" i="146" s="1"/>
  <c r="DB28" i="146"/>
  <c r="DE28" i="146" s="1"/>
  <c r="CX28" i="146"/>
  <c r="CZ28" i="146" s="1"/>
  <c r="CX68" i="146"/>
  <c r="CZ68" i="146" s="1"/>
  <c r="DB68" i="146"/>
  <c r="DE68" i="146" s="1"/>
  <c r="DB90" i="146"/>
  <c r="DE90" i="146" s="1"/>
  <c r="CX90" i="146"/>
  <c r="CZ90" i="146" s="1"/>
  <c r="CW19" i="146"/>
  <c r="O29" i="146"/>
  <c r="R29" i="146" s="1"/>
  <c r="U29" i="146" s="1"/>
  <c r="X29" i="146" s="1"/>
  <c r="AA29" i="146" s="1"/>
  <c r="AD29" i="146" s="1"/>
  <c r="AG29" i="146" s="1"/>
  <c r="AJ29" i="146" s="1"/>
  <c r="AM29" i="146" s="1"/>
  <c r="AP29" i="146" s="1"/>
  <c r="AS29" i="146" s="1"/>
  <c r="AV29" i="146" s="1"/>
  <c r="AY29" i="146" s="1"/>
  <c r="BB29" i="146" s="1"/>
  <c r="BE29" i="146" s="1"/>
  <c r="BH29" i="146" s="1"/>
  <c r="BK29" i="146" s="1"/>
  <c r="BN29" i="146" s="1"/>
  <c r="BQ29" i="146" s="1"/>
  <c r="BT29" i="146" s="1"/>
  <c r="BW29" i="146" s="1"/>
  <c r="BZ29" i="146" s="1"/>
  <c r="CC29" i="146" s="1"/>
  <c r="CF29" i="146" s="1"/>
  <c r="CI29" i="146" s="1"/>
  <c r="CL29" i="146" s="1"/>
  <c r="CO29" i="146" s="1"/>
  <c r="CR29" i="146" s="1"/>
  <c r="CU29" i="146" s="1"/>
  <c r="I43" i="146"/>
  <c r="L43" i="146" s="1"/>
  <c r="O43" i="146" s="1"/>
  <c r="R43" i="146" s="1"/>
  <c r="U43" i="146" s="1"/>
  <c r="X43" i="146" s="1"/>
  <c r="AA43" i="146" s="1"/>
  <c r="AD43" i="146" s="1"/>
  <c r="AG43" i="146" s="1"/>
  <c r="AJ43" i="146" s="1"/>
  <c r="AM43" i="146" s="1"/>
  <c r="AP43" i="146" s="1"/>
  <c r="AS43" i="146" s="1"/>
  <c r="AV43" i="146" s="1"/>
  <c r="AY43" i="146" s="1"/>
  <c r="BB43" i="146" s="1"/>
  <c r="BE43" i="146" s="1"/>
  <c r="BH43" i="146" s="1"/>
  <c r="BK43" i="146" s="1"/>
  <c r="BN43" i="146" s="1"/>
  <c r="BQ43" i="146" s="1"/>
  <c r="BT43" i="146" s="1"/>
  <c r="BW43" i="146" s="1"/>
  <c r="BZ43" i="146" s="1"/>
  <c r="CC43" i="146" s="1"/>
  <c r="CF43" i="146" s="1"/>
  <c r="CI43" i="146" s="1"/>
  <c r="CL43" i="146" s="1"/>
  <c r="CO43" i="146" s="1"/>
  <c r="CR43" i="146" s="1"/>
  <c r="CU43" i="146" s="1"/>
  <c r="CW43" i="146"/>
  <c r="X59" i="146"/>
  <c r="AA59" i="146" s="1"/>
  <c r="AD59" i="146" s="1"/>
  <c r="AG59" i="146" s="1"/>
  <c r="AJ59" i="146" s="1"/>
  <c r="AM59" i="146" s="1"/>
  <c r="AP59" i="146" s="1"/>
  <c r="AS59" i="146" s="1"/>
  <c r="AV59" i="146" s="1"/>
  <c r="AY59" i="146" s="1"/>
  <c r="BB59" i="146" s="1"/>
  <c r="BE59" i="146" s="1"/>
  <c r="BH59" i="146" s="1"/>
  <c r="BK59" i="146" s="1"/>
  <c r="BN59" i="146" s="1"/>
  <c r="BQ59" i="146" s="1"/>
  <c r="BT59" i="146" s="1"/>
  <c r="BW59" i="146" s="1"/>
  <c r="BZ59" i="146" s="1"/>
  <c r="CC59" i="146" s="1"/>
  <c r="CF59" i="146" s="1"/>
  <c r="CI59" i="146" s="1"/>
  <c r="CL59" i="146" s="1"/>
  <c r="CO59" i="146" s="1"/>
  <c r="CR59" i="146" s="1"/>
  <c r="CU59" i="146" s="1"/>
  <c r="I6" i="146"/>
  <c r="L6" i="146" s="1"/>
  <c r="O6" i="146" s="1"/>
  <c r="R6" i="146" s="1"/>
  <c r="U6" i="146" s="1"/>
  <c r="X6" i="146" s="1"/>
  <c r="AA6" i="146" s="1"/>
  <c r="AD6" i="146" s="1"/>
  <c r="AG6" i="146" s="1"/>
  <c r="AJ6" i="146" s="1"/>
  <c r="AM6" i="146" s="1"/>
  <c r="AP6" i="146" s="1"/>
  <c r="AS6" i="146" s="1"/>
  <c r="AV6" i="146" s="1"/>
  <c r="AY6" i="146" s="1"/>
  <c r="BB6" i="146" s="1"/>
  <c r="BE6" i="146" s="1"/>
  <c r="BH6" i="146" s="1"/>
  <c r="BK6" i="146" s="1"/>
  <c r="BN6" i="146" s="1"/>
  <c r="BQ6" i="146" s="1"/>
  <c r="BT6" i="146" s="1"/>
  <c r="BW6" i="146" s="1"/>
  <c r="BZ6" i="146" s="1"/>
  <c r="CC6" i="146" s="1"/>
  <c r="CF6" i="146" s="1"/>
  <c r="CI6" i="146" s="1"/>
  <c r="CL6" i="146" s="1"/>
  <c r="CO6" i="146" s="1"/>
  <c r="CR6" i="146" s="1"/>
  <c r="CU6" i="146" s="1"/>
  <c r="CW32" i="146"/>
  <c r="CW12" i="146"/>
  <c r="CW22" i="146"/>
  <c r="CX69" i="146"/>
  <c r="CZ69" i="146" s="1"/>
  <c r="DB69" i="146"/>
  <c r="DE69" i="146" s="1"/>
  <c r="CX75" i="146"/>
  <c r="CZ75" i="146" s="1"/>
  <c r="DB75" i="146"/>
  <c r="DE75" i="146" s="1"/>
  <c r="DB72" i="146"/>
  <c r="DE72" i="146" s="1"/>
  <c r="CX72" i="146"/>
  <c r="CZ72" i="146" s="1"/>
  <c r="CV25" i="146"/>
  <c r="I25" i="146"/>
  <c r="L25" i="146" s="1"/>
  <c r="O25" i="146" s="1"/>
  <c r="R25" i="146" s="1"/>
  <c r="U25" i="146" s="1"/>
  <c r="X25" i="146" s="1"/>
  <c r="AA25" i="146" s="1"/>
  <c r="AD25" i="146" s="1"/>
  <c r="AG25" i="146" s="1"/>
  <c r="AJ25" i="146" s="1"/>
  <c r="AM25" i="146" s="1"/>
  <c r="AP25" i="146" s="1"/>
  <c r="AS25" i="146" s="1"/>
  <c r="AV25" i="146" s="1"/>
  <c r="AY25" i="146" s="1"/>
  <c r="BB25" i="146" s="1"/>
  <c r="BE25" i="146" s="1"/>
  <c r="BH25" i="146" s="1"/>
  <c r="BK25" i="146" s="1"/>
  <c r="BN25" i="146" s="1"/>
  <c r="BQ25" i="146" s="1"/>
  <c r="BT25" i="146" s="1"/>
  <c r="BW25" i="146" s="1"/>
  <c r="BZ25" i="146" s="1"/>
  <c r="CC25" i="146" s="1"/>
  <c r="CF25" i="146" s="1"/>
  <c r="CI25" i="146" s="1"/>
  <c r="CL25" i="146" s="1"/>
  <c r="CO25" i="146" s="1"/>
  <c r="CR25" i="146" s="1"/>
  <c r="CU25" i="146" s="1"/>
  <c r="I16" i="146"/>
  <c r="L16" i="146" s="1"/>
  <c r="O16" i="146" s="1"/>
  <c r="R16" i="146" s="1"/>
  <c r="U16" i="146" s="1"/>
  <c r="X16" i="146" s="1"/>
  <c r="AA16" i="146" s="1"/>
  <c r="AD16" i="146" s="1"/>
  <c r="AG16" i="146" s="1"/>
  <c r="AJ16" i="146" s="1"/>
  <c r="AM16" i="146" s="1"/>
  <c r="AP16" i="146" s="1"/>
  <c r="AS16" i="146" s="1"/>
  <c r="AV16" i="146" s="1"/>
  <c r="AY16" i="146" s="1"/>
  <c r="BB16" i="146" s="1"/>
  <c r="BE16" i="146" s="1"/>
  <c r="BH16" i="146" s="1"/>
  <c r="BK16" i="146" s="1"/>
  <c r="BN16" i="146" s="1"/>
  <c r="BQ16" i="146" s="1"/>
  <c r="BT16" i="146" s="1"/>
  <c r="BW16" i="146" s="1"/>
  <c r="BZ16" i="146" s="1"/>
  <c r="CC16" i="146" s="1"/>
  <c r="CF16" i="146" s="1"/>
  <c r="CI16" i="146" s="1"/>
  <c r="CL16" i="146" s="1"/>
  <c r="CO16" i="146" s="1"/>
  <c r="CR16" i="146" s="1"/>
  <c r="CU16" i="146" s="1"/>
  <c r="CV16" i="146"/>
  <c r="R18" i="146"/>
  <c r="U18" i="146" s="1"/>
  <c r="X18" i="146" s="1"/>
  <c r="AA18" i="146" s="1"/>
  <c r="AD18" i="146" s="1"/>
  <c r="AG18" i="146" s="1"/>
  <c r="AJ18" i="146" s="1"/>
  <c r="AM18" i="146" s="1"/>
  <c r="AP18" i="146" s="1"/>
  <c r="AS18" i="146" s="1"/>
  <c r="AV18" i="146" s="1"/>
  <c r="AY18" i="146" s="1"/>
  <c r="BB18" i="146" s="1"/>
  <c r="BE18" i="146" s="1"/>
  <c r="BH18" i="146" s="1"/>
  <c r="BK18" i="146" s="1"/>
  <c r="BN18" i="146" s="1"/>
  <c r="BQ18" i="146" s="1"/>
  <c r="BT18" i="146" s="1"/>
  <c r="BW18" i="146" s="1"/>
  <c r="BZ18" i="146" s="1"/>
  <c r="CC18" i="146" s="1"/>
  <c r="CF18" i="146" s="1"/>
  <c r="CI18" i="146" s="1"/>
  <c r="CL18" i="146" s="1"/>
  <c r="CO18" i="146" s="1"/>
  <c r="CR18" i="146" s="1"/>
  <c r="CU18" i="146" s="1"/>
  <c r="I17" i="146"/>
  <c r="L17" i="146" s="1"/>
  <c r="O17" i="146" s="1"/>
  <c r="R17" i="146" s="1"/>
  <c r="U17" i="146" s="1"/>
  <c r="X17" i="146" s="1"/>
  <c r="AA17" i="146" s="1"/>
  <c r="AD17" i="146" s="1"/>
  <c r="AG17" i="146" s="1"/>
  <c r="AJ17" i="146" s="1"/>
  <c r="AM17" i="146" s="1"/>
  <c r="AP17" i="146" s="1"/>
  <c r="AS17" i="146" s="1"/>
  <c r="AV17" i="146" s="1"/>
  <c r="AY17" i="146" s="1"/>
  <c r="BB17" i="146" s="1"/>
  <c r="BE17" i="146" s="1"/>
  <c r="BH17" i="146" s="1"/>
  <c r="BK17" i="146" s="1"/>
  <c r="BN17" i="146" s="1"/>
  <c r="BQ17" i="146" s="1"/>
  <c r="BT17" i="146" s="1"/>
  <c r="BW17" i="146" s="1"/>
  <c r="BZ17" i="146" s="1"/>
  <c r="CC17" i="146" s="1"/>
  <c r="CF17" i="146" s="1"/>
  <c r="CI17" i="146" s="1"/>
  <c r="CL17" i="146" s="1"/>
  <c r="CO17" i="146" s="1"/>
  <c r="CR17" i="146" s="1"/>
  <c r="CU17" i="146" s="1"/>
  <c r="CW25" i="146"/>
  <c r="CW27" i="146"/>
  <c r="I27" i="146"/>
  <c r="L27" i="146" s="1"/>
  <c r="O27" i="146" s="1"/>
  <c r="R27" i="146" s="1"/>
  <c r="U27" i="146" s="1"/>
  <c r="X27" i="146" s="1"/>
  <c r="AA27" i="146" s="1"/>
  <c r="AD27" i="146" s="1"/>
  <c r="AG27" i="146" s="1"/>
  <c r="AJ27" i="146" s="1"/>
  <c r="AM27" i="146" s="1"/>
  <c r="AP27" i="146" s="1"/>
  <c r="AS27" i="146" s="1"/>
  <c r="AV27" i="146" s="1"/>
  <c r="AY27" i="146" s="1"/>
  <c r="BB27" i="146" s="1"/>
  <c r="BE27" i="146" s="1"/>
  <c r="BH27" i="146" s="1"/>
  <c r="BK27" i="146" s="1"/>
  <c r="BN27" i="146" s="1"/>
  <c r="BQ27" i="146" s="1"/>
  <c r="BT27" i="146" s="1"/>
  <c r="BW27" i="146" s="1"/>
  <c r="BZ27" i="146" s="1"/>
  <c r="CC27" i="146" s="1"/>
  <c r="CF27" i="146" s="1"/>
  <c r="CI27" i="146" s="1"/>
  <c r="CL27" i="146" s="1"/>
  <c r="CO27" i="146" s="1"/>
  <c r="CR27" i="146" s="1"/>
  <c r="CU27" i="146" s="1"/>
  <c r="CX64" i="146"/>
  <c r="CZ64" i="146" s="1"/>
  <c r="DB64" i="146"/>
  <c r="DE64" i="146" s="1"/>
  <c r="DB67" i="146"/>
  <c r="DE67" i="146" s="1"/>
  <c r="CX67" i="146"/>
  <c r="CZ67" i="146" s="1"/>
  <c r="CW28" i="146"/>
  <c r="CW39" i="146"/>
  <c r="DB65" i="146"/>
  <c r="DE65" i="146" s="1"/>
  <c r="CX65" i="146"/>
  <c r="CZ65" i="146" s="1"/>
  <c r="DB74" i="146"/>
  <c r="DE74" i="146" s="1"/>
  <c r="CX74" i="146"/>
  <c r="CZ74" i="146" s="1"/>
  <c r="DB79" i="146"/>
  <c r="DE79" i="146" s="1"/>
  <c r="CX79" i="146"/>
  <c r="CZ79" i="146" s="1"/>
  <c r="DB82" i="146"/>
  <c r="DE82" i="146" s="1"/>
  <c r="CX82" i="146"/>
  <c r="CZ82" i="146" s="1"/>
  <c r="CV46" i="146"/>
  <c r="I46" i="146"/>
  <c r="L46" i="146" s="1"/>
  <c r="O46" i="146" s="1"/>
  <c r="R46" i="146" s="1"/>
  <c r="U46" i="146" s="1"/>
  <c r="X46" i="146" s="1"/>
  <c r="AA46" i="146" s="1"/>
  <c r="AD46" i="146" s="1"/>
  <c r="AG46" i="146" s="1"/>
  <c r="AJ46" i="146" s="1"/>
  <c r="AM46" i="146" s="1"/>
  <c r="AP46" i="146" s="1"/>
  <c r="AS46" i="146" s="1"/>
  <c r="AV46" i="146" s="1"/>
  <c r="AY46" i="146" s="1"/>
  <c r="BB46" i="146" s="1"/>
  <c r="BE46" i="146" s="1"/>
  <c r="BH46" i="146" s="1"/>
  <c r="BK46" i="146" s="1"/>
  <c r="BN46" i="146" s="1"/>
  <c r="BQ46" i="146" s="1"/>
  <c r="BT46" i="146" s="1"/>
  <c r="BW46" i="146" s="1"/>
  <c r="BZ46" i="146" s="1"/>
  <c r="CC46" i="146" s="1"/>
  <c r="CF46" i="146" s="1"/>
  <c r="CI46" i="146" s="1"/>
  <c r="CL46" i="146" s="1"/>
  <c r="CO46" i="146" s="1"/>
  <c r="CR46" i="146" s="1"/>
  <c r="CU46" i="146" s="1"/>
  <c r="DB80" i="146"/>
  <c r="DE80" i="146" s="1"/>
  <c r="CX80" i="146"/>
  <c r="CZ80" i="146" s="1"/>
  <c r="CW59" i="146"/>
  <c r="I60" i="146"/>
  <c r="L60" i="146" s="1"/>
  <c r="O60" i="146" s="1"/>
  <c r="R60" i="146" s="1"/>
  <c r="U60" i="146" s="1"/>
  <c r="X60" i="146" s="1"/>
  <c r="AA60" i="146" s="1"/>
  <c r="AD60" i="146" s="1"/>
  <c r="AG60" i="146" s="1"/>
  <c r="AJ60" i="146" s="1"/>
  <c r="AM60" i="146" s="1"/>
  <c r="AP60" i="146" s="1"/>
  <c r="AS60" i="146" s="1"/>
  <c r="AV60" i="146" s="1"/>
  <c r="AY60" i="146" s="1"/>
  <c r="BB60" i="146" s="1"/>
  <c r="BE60" i="146" s="1"/>
  <c r="BH60" i="146" s="1"/>
  <c r="BK60" i="146" s="1"/>
  <c r="BN60" i="146" s="1"/>
  <c r="BQ60" i="146" s="1"/>
  <c r="BT60" i="146" s="1"/>
  <c r="BW60" i="146" s="1"/>
  <c r="BZ60" i="146" s="1"/>
  <c r="CC60" i="146" s="1"/>
  <c r="CF60" i="146" s="1"/>
  <c r="CI60" i="146" s="1"/>
  <c r="CL60" i="146" s="1"/>
  <c r="CO60" i="146" s="1"/>
  <c r="CR60" i="146" s="1"/>
  <c r="CU60" i="146" s="1"/>
  <c r="CV60" i="146"/>
  <c r="R53" i="146"/>
  <c r="U53" i="146" s="1"/>
  <c r="X53" i="146" s="1"/>
  <c r="AA53" i="146" s="1"/>
  <c r="AD53" i="146" s="1"/>
  <c r="AG53" i="146" s="1"/>
  <c r="AJ53" i="146" s="1"/>
  <c r="AM53" i="146" s="1"/>
  <c r="AP53" i="146" s="1"/>
  <c r="AS53" i="146" s="1"/>
  <c r="AV53" i="146" s="1"/>
  <c r="AY53" i="146" s="1"/>
  <c r="BB53" i="146" s="1"/>
  <c r="BE53" i="146" s="1"/>
  <c r="BH53" i="146" s="1"/>
  <c r="BK53" i="146" s="1"/>
  <c r="BN53" i="146" s="1"/>
  <c r="BQ53" i="146" s="1"/>
  <c r="BT53" i="146" s="1"/>
  <c r="BW53" i="146" s="1"/>
  <c r="BZ53" i="146" s="1"/>
  <c r="CC53" i="146" s="1"/>
  <c r="CF53" i="146" s="1"/>
  <c r="CI53" i="146" s="1"/>
  <c r="CL53" i="146" s="1"/>
  <c r="CO53" i="146" s="1"/>
  <c r="CR53" i="146" s="1"/>
  <c r="CU53" i="146" s="1"/>
  <c r="CW63" i="146"/>
  <c r="BE71" i="146"/>
  <c r="BH71" i="146" s="1"/>
  <c r="BK71" i="146" s="1"/>
  <c r="BN71" i="146" s="1"/>
  <c r="BQ71" i="146" s="1"/>
  <c r="BT71" i="146" s="1"/>
  <c r="BW71" i="146" s="1"/>
  <c r="BZ71" i="146" s="1"/>
  <c r="CC71" i="146" s="1"/>
  <c r="CF71" i="146" s="1"/>
  <c r="CI71" i="146" s="1"/>
  <c r="CL71" i="146" s="1"/>
  <c r="CO71" i="146" s="1"/>
  <c r="CR71" i="146" s="1"/>
  <c r="CU71" i="146" s="1"/>
  <c r="DB73" i="146"/>
  <c r="DE73" i="146" s="1"/>
  <c r="CX73" i="146"/>
  <c r="CZ73" i="146" s="1"/>
  <c r="CW60" i="146"/>
  <c r="DB89" i="146"/>
  <c r="DE89" i="146" s="1"/>
  <c r="CX89" i="146"/>
  <c r="CZ89" i="146" s="1"/>
  <c r="DB93" i="146"/>
  <c r="DE93" i="146" s="1"/>
  <c r="CX93" i="146"/>
  <c r="CZ93" i="146" s="1"/>
  <c r="CW40" i="146"/>
  <c r="CW48" i="146"/>
  <c r="I48" i="146"/>
  <c r="L48" i="146" s="1"/>
  <c r="O48" i="146" s="1"/>
  <c r="R48" i="146" s="1"/>
  <c r="U48" i="146" s="1"/>
  <c r="X48" i="146" s="1"/>
  <c r="AA48" i="146" s="1"/>
  <c r="AD48" i="146" s="1"/>
  <c r="AG48" i="146" s="1"/>
  <c r="AJ48" i="146" s="1"/>
  <c r="AM48" i="146" s="1"/>
  <c r="AP48" i="146" s="1"/>
  <c r="AS48" i="146" s="1"/>
  <c r="AV48" i="146" s="1"/>
  <c r="AY48" i="146" s="1"/>
  <c r="BB48" i="146" s="1"/>
  <c r="BE48" i="146" s="1"/>
  <c r="BH48" i="146" s="1"/>
  <c r="BK48" i="146" s="1"/>
  <c r="BN48" i="146" s="1"/>
  <c r="BQ48" i="146" s="1"/>
  <c r="BT48" i="146" s="1"/>
  <c r="BW48" i="146" s="1"/>
  <c r="BZ48" i="146" s="1"/>
  <c r="CC48" i="146" s="1"/>
  <c r="CF48" i="146" s="1"/>
  <c r="CI48" i="146" s="1"/>
  <c r="CL48" i="146" s="1"/>
  <c r="CO48" i="146" s="1"/>
  <c r="CR48" i="146" s="1"/>
  <c r="CU48" i="146" s="1"/>
  <c r="DB85" i="146"/>
  <c r="DE85" i="146" s="1"/>
  <c r="CX85" i="146"/>
  <c r="CZ85" i="146" s="1"/>
  <c r="DB86" i="146"/>
  <c r="DE86" i="146" s="1"/>
  <c r="CX86" i="146"/>
  <c r="CZ86" i="146" s="1"/>
  <c r="DB91" i="146"/>
  <c r="DE91" i="146" s="1"/>
  <c r="CX91" i="146"/>
  <c r="CZ91" i="146" s="1"/>
  <c r="DB87" i="146"/>
  <c r="DE87" i="146" s="1"/>
  <c r="CX87" i="146"/>
  <c r="CZ87" i="146" s="1"/>
  <c r="DB84" i="146"/>
  <c r="DE84" i="146" s="1"/>
  <c r="CX84" i="146"/>
  <c r="CZ84" i="146" s="1"/>
  <c r="DB88" i="146"/>
  <c r="DE88" i="146" s="1"/>
  <c r="CX88" i="146"/>
  <c r="CZ88" i="146" s="1"/>
  <c r="DB92" i="146"/>
  <c r="DE92" i="146" s="1"/>
  <c r="CX92" i="146"/>
  <c r="CZ92" i="146" s="1"/>
  <c r="DB81" i="146"/>
  <c r="DE81" i="146" s="1"/>
  <c r="CX81" i="146"/>
  <c r="CZ81" i="146" s="1"/>
  <c r="CW83" i="146"/>
  <c r="CV59" i="146"/>
  <c r="CV76" i="146"/>
  <c r="CW71" i="146"/>
  <c r="CW76" i="146"/>
  <c r="CV63" i="146"/>
  <c r="AA76" i="146"/>
  <c r="AD76" i="146" s="1"/>
  <c r="AG76" i="146" s="1"/>
  <c r="AJ76" i="146" s="1"/>
  <c r="AM76" i="146" s="1"/>
  <c r="AP76" i="146" s="1"/>
  <c r="AS76" i="146" s="1"/>
  <c r="AV76" i="146" s="1"/>
  <c r="AY76" i="146" s="1"/>
  <c r="BB76" i="146" s="1"/>
  <c r="BE76" i="146" s="1"/>
  <c r="BH76" i="146" s="1"/>
  <c r="BK76" i="146" s="1"/>
  <c r="BN76" i="146" s="1"/>
  <c r="BQ76" i="146" s="1"/>
  <c r="BT76" i="146" s="1"/>
  <c r="BW76" i="146" s="1"/>
  <c r="BZ76" i="146" s="1"/>
  <c r="CC76" i="146" s="1"/>
  <c r="CF76" i="146" s="1"/>
  <c r="CI76" i="146" s="1"/>
  <c r="CL76" i="146" s="1"/>
  <c r="CO76" i="146" s="1"/>
  <c r="CR76" i="146" s="1"/>
  <c r="CU76" i="146" s="1"/>
  <c r="AJ77" i="146"/>
  <c r="AM77" i="146" s="1"/>
  <c r="AP77" i="146" s="1"/>
  <c r="AS77" i="146" s="1"/>
  <c r="AV77" i="146" s="1"/>
  <c r="AY77" i="146" s="1"/>
  <c r="BB77" i="146" s="1"/>
  <c r="BE77" i="146" s="1"/>
  <c r="BH77" i="146" s="1"/>
  <c r="BK77" i="146" s="1"/>
  <c r="BN77" i="146" s="1"/>
  <c r="BQ77" i="146" s="1"/>
  <c r="BT77" i="146" s="1"/>
  <c r="BW77" i="146" s="1"/>
  <c r="BZ77" i="146" s="1"/>
  <c r="CC77" i="146" s="1"/>
  <c r="CF77" i="146" s="1"/>
  <c r="CI77" i="146" s="1"/>
  <c r="CL77" i="146" s="1"/>
  <c r="CO77" i="146" s="1"/>
  <c r="CR77" i="146" s="1"/>
  <c r="CU77" i="146" s="1"/>
  <c r="CW77" i="146"/>
  <c r="I83" i="146"/>
  <c r="L83" i="146" s="1"/>
  <c r="O83" i="146" s="1"/>
  <c r="R83" i="146" s="1"/>
  <c r="U83" i="146" s="1"/>
  <c r="X83" i="146" s="1"/>
  <c r="AA83" i="146" s="1"/>
  <c r="AD83" i="146" s="1"/>
  <c r="AG83" i="146" s="1"/>
  <c r="AJ83" i="146" s="1"/>
  <c r="AM83" i="146" s="1"/>
  <c r="AP83" i="146" s="1"/>
  <c r="AS83" i="146" s="1"/>
  <c r="AV83" i="146" s="1"/>
  <c r="AY83" i="146" s="1"/>
  <c r="BB83" i="146" s="1"/>
  <c r="BE83" i="146" s="1"/>
  <c r="BH83" i="146" s="1"/>
  <c r="BK83" i="146" s="1"/>
  <c r="BN83" i="146" s="1"/>
  <c r="BQ83" i="146" s="1"/>
  <c r="BT83" i="146" s="1"/>
  <c r="BW83" i="146" s="1"/>
  <c r="BZ83" i="146" s="1"/>
  <c r="CC83" i="146" s="1"/>
  <c r="CF83" i="146" s="1"/>
  <c r="CI83" i="146" s="1"/>
  <c r="CL83" i="146" s="1"/>
  <c r="CO83" i="146" s="1"/>
  <c r="CR83" i="146" s="1"/>
  <c r="CU83" i="146" s="1"/>
  <c r="DB70" i="146" l="1"/>
  <c r="DE70" i="146" s="1"/>
  <c r="CX70" i="146"/>
  <c r="CZ70" i="146" s="1"/>
  <c r="DB53" i="146"/>
  <c r="DE53" i="146" s="1"/>
  <c r="CX53" i="146"/>
  <c r="CZ53" i="146" s="1"/>
  <c r="DB60" i="146"/>
  <c r="DE60" i="146" s="1"/>
  <c r="CX60" i="146"/>
  <c r="CZ60" i="146" s="1"/>
  <c r="DB77" i="146"/>
  <c r="DE77" i="146" s="1"/>
  <c r="CX77" i="146"/>
  <c r="CZ77" i="146" s="1"/>
  <c r="DB48" i="146"/>
  <c r="DE48" i="146" s="1"/>
  <c r="CX48" i="146"/>
  <c r="CZ48" i="146" s="1"/>
  <c r="DB46" i="146"/>
  <c r="DE46" i="146" s="1"/>
  <c r="CX46" i="146"/>
  <c r="CZ46" i="146" s="1"/>
  <c r="CX18" i="146"/>
  <c r="CZ18" i="146" s="1"/>
  <c r="DB18" i="146"/>
  <c r="DE18" i="146" s="1"/>
  <c r="DB83" i="146"/>
  <c r="DE83" i="146" s="1"/>
  <c r="CX83" i="146"/>
  <c r="CZ83" i="146" s="1"/>
  <c r="CX6" i="146"/>
  <c r="CZ6" i="146" s="1"/>
  <c r="DB6" i="146"/>
  <c r="DE6" i="146" s="1"/>
  <c r="DB27" i="146"/>
  <c r="DE27" i="146" s="1"/>
  <c r="CX27" i="146"/>
  <c r="CZ27" i="146" s="1"/>
  <c r="DB17" i="146"/>
  <c r="DE17" i="146" s="1"/>
  <c r="CX17" i="146"/>
  <c r="CZ17" i="146" s="1"/>
  <c r="DB59" i="146"/>
  <c r="DE59" i="146" s="1"/>
  <c r="CX59" i="146"/>
  <c r="CZ59" i="146" s="1"/>
  <c r="DB43" i="146"/>
  <c r="DE43" i="146" s="1"/>
  <c r="CX43" i="146"/>
  <c r="CZ43" i="146" s="1"/>
  <c r="CX76" i="146"/>
  <c r="CZ76" i="146" s="1"/>
  <c r="DB76" i="146"/>
  <c r="DE76" i="146" s="1"/>
  <c r="DB71" i="146"/>
  <c r="DE71" i="146" s="1"/>
  <c r="CX71" i="146"/>
  <c r="CZ71" i="146" s="1"/>
  <c r="DB16" i="146"/>
  <c r="DE16" i="146" s="1"/>
  <c r="CX16" i="146"/>
  <c r="CZ16" i="146" s="1"/>
  <c r="CX29" i="146"/>
  <c r="CZ29" i="146" s="1"/>
  <c r="DB29" i="146"/>
  <c r="DE29" i="146" s="1"/>
  <c r="CX25" i="146"/>
  <c r="CZ25" i="146" s="1"/>
  <c r="DB25" i="146"/>
  <c r="DE25" i="146" s="1"/>
  <c r="CZ94" i="146" l="1"/>
  <c r="CZ95" i="146" s="1"/>
  <c r="CK60" i="143" l="1"/>
  <c r="CH77" i="143"/>
  <c r="CH65" i="143"/>
  <c r="CH40" i="143"/>
  <c r="CH27" i="143"/>
  <c r="CH16" i="143"/>
  <c r="CH15" i="143"/>
  <c r="CG50" i="143"/>
  <c r="CH60" i="143"/>
  <c r="CH80" i="143"/>
  <c r="CH14" i="143"/>
  <c r="CH25" i="143"/>
  <c r="CB27" i="143"/>
  <c r="CB40" i="143"/>
  <c r="CB22" i="143"/>
  <c r="CH22" i="143"/>
  <c r="CH6" i="143"/>
  <c r="CG76" i="143"/>
  <c r="CG32" i="143"/>
  <c r="CG29" i="143"/>
  <c r="CG21" i="143"/>
  <c r="CH83" i="143" l="1"/>
  <c r="CH82" i="143"/>
  <c r="CH76" i="143"/>
  <c r="CH63" i="143"/>
  <c r="CH59" i="143"/>
  <c r="CH17" i="143"/>
  <c r="CH29" i="143"/>
  <c r="CH12" i="143"/>
  <c r="CH32" i="143"/>
  <c r="CH21" i="143"/>
  <c r="CH36" i="143"/>
  <c r="CA17" i="143"/>
  <c r="CH48" i="143"/>
  <c r="BS77" i="143"/>
  <c r="CB65" i="143"/>
  <c r="CB19" i="143"/>
  <c r="CB60" i="143"/>
  <c r="CB39" i="143"/>
  <c r="CB29" i="143"/>
  <c r="CB43" i="143"/>
  <c r="CB15" i="143"/>
  <c r="CB58" i="143"/>
  <c r="CB77" i="143"/>
  <c r="CB71" i="143"/>
  <c r="CB13" i="143"/>
  <c r="CB14" i="143"/>
  <c r="CB25" i="143"/>
  <c r="CB24" i="143"/>
  <c r="CB16" i="143"/>
  <c r="CH13" i="143"/>
  <c r="CA65" i="143"/>
  <c r="CA76" i="143"/>
  <c r="CA60" i="143"/>
  <c r="CA39" i="143"/>
  <c r="CA32" i="143"/>
  <c r="CA29" i="143"/>
  <c r="CA21" i="143"/>
  <c r="CA16" i="143"/>
  <c r="CB83" i="143"/>
  <c r="CB76" i="143"/>
  <c r="CB63" i="143"/>
  <c r="CB59" i="143"/>
  <c r="CB17" i="143"/>
  <c r="CB12" i="143"/>
  <c r="BS13" i="143" l="1"/>
  <c r="BS25" i="143"/>
  <c r="BS40" i="143"/>
  <c r="BS59" i="143"/>
  <c r="BS60" i="143" l="1"/>
  <c r="BS27" i="143" l="1"/>
  <c r="BS16" i="143"/>
  <c r="BS43" i="143"/>
  <c r="BS46" i="143"/>
  <c r="BS45" i="143"/>
  <c r="BS48" i="143"/>
  <c r="BS22" i="143"/>
  <c r="BS39" i="143"/>
  <c r="BS58" i="143"/>
  <c r="BY59" i="143"/>
  <c r="BY16" i="143"/>
  <c r="BY76" i="143"/>
  <c r="BY17" i="143"/>
  <c r="BR26" i="143" l="1"/>
  <c r="BY83" i="143"/>
  <c r="BY63" i="143"/>
  <c r="BY39" i="143"/>
  <c r="BY12" i="143"/>
  <c r="BR17" i="143"/>
  <c r="BS83" i="143"/>
  <c r="BS82" i="143"/>
  <c r="BS76" i="143"/>
  <c r="BS63" i="143"/>
  <c r="BS17" i="143"/>
  <c r="BS12" i="143"/>
  <c r="BP40" i="143" l="1"/>
  <c r="BP6" i="143"/>
  <c r="BP48" i="143"/>
  <c r="BP43" i="143"/>
  <c r="BP25" i="143"/>
  <c r="BP15" i="143"/>
  <c r="BP14" i="143"/>
  <c r="BP13" i="143"/>
  <c r="BO76" i="143"/>
  <c r="BO60" i="143"/>
  <c r="BO17" i="143"/>
  <c r="BP83" i="143" l="1"/>
  <c r="BP76" i="143"/>
  <c r="BP63" i="143"/>
  <c r="BP59" i="143"/>
  <c r="BP17" i="143"/>
  <c r="BP39" i="143"/>
  <c r="BP16" i="143"/>
  <c r="BP12" i="143"/>
  <c r="BP32" i="143"/>
  <c r="BP28" i="143"/>
  <c r="BP36" i="143"/>
  <c r="BP27" i="143"/>
  <c r="BP29" i="143" l="1"/>
  <c r="BM74" i="143"/>
  <c r="BM60" i="143"/>
  <c r="BM40" i="143"/>
  <c r="BM27" i="143"/>
  <c r="BM22" i="143"/>
  <c r="BM14" i="143"/>
  <c r="BM80" i="143"/>
  <c r="BM25" i="143"/>
  <c r="BM77" i="143"/>
  <c r="BM16" i="143"/>
  <c r="BL76" i="143"/>
  <c r="BL17" i="143"/>
  <c r="BM83" i="143"/>
  <c r="BM63" i="143"/>
  <c r="BM59" i="143"/>
  <c r="BM17" i="143"/>
  <c r="BM39" i="143"/>
  <c r="BM12" i="143"/>
  <c r="BG25" i="143"/>
  <c r="BG16" i="143"/>
  <c r="BF74" i="143"/>
  <c r="BG27" i="143"/>
  <c r="BG40" i="143"/>
  <c r="BG43" i="143"/>
  <c r="BG60" i="143"/>
  <c r="BG22" i="143"/>
  <c r="BG48" i="143"/>
  <c r="BG77" i="143"/>
  <c r="BG36" i="143"/>
  <c r="BM13" i="143"/>
  <c r="BM48" i="143"/>
  <c r="BG59" i="143"/>
  <c r="BG71" i="143"/>
  <c r="BG19" i="143"/>
  <c r="BG58" i="143"/>
  <c r="BG18" i="143"/>
  <c r="BF76" i="143"/>
  <c r="BF21" i="143"/>
  <c r="BG83" i="143"/>
  <c r="BG63" i="143"/>
  <c r="BG17" i="143"/>
  <c r="BG39" i="143"/>
  <c r="BG12" i="143"/>
  <c r="BC15" i="143" l="1"/>
  <c r="BC12" i="143"/>
  <c r="BC39" i="143"/>
  <c r="BG53" i="143"/>
  <c r="BG29" i="143"/>
  <c r="BD43" i="143"/>
  <c r="BD76" i="143"/>
  <c r="BD40" i="143"/>
  <c r="BD22" i="143"/>
  <c r="BD27" i="143"/>
  <c r="BD15" i="143"/>
  <c r="BD29" i="143"/>
  <c r="BD71" i="143"/>
  <c r="BD60" i="143"/>
  <c r="BD58" i="143"/>
  <c r="BD14" i="143"/>
  <c r="BD77" i="143"/>
  <c r="BD25" i="143"/>
  <c r="BD16" i="143"/>
  <c r="BD13" i="143"/>
  <c r="BD48" i="143"/>
  <c r="BC76" i="143"/>
  <c r="BC60" i="143"/>
  <c r="BC17" i="143"/>
  <c r="BC16" i="143"/>
  <c r="BD39" i="143" l="1"/>
  <c r="AX39" i="143"/>
  <c r="BD83" i="143"/>
  <c r="BD63" i="143"/>
  <c r="BD59" i="143"/>
  <c r="BD17" i="143"/>
  <c r="BD12" i="143"/>
  <c r="AX16" i="143"/>
  <c r="AX25" i="143"/>
  <c r="AX48" i="143"/>
  <c r="AX27" i="143"/>
  <c r="AW39" i="143"/>
  <c r="AX24" i="143"/>
  <c r="AX77" i="143"/>
  <c r="AX40" i="143"/>
  <c r="AX14" i="143"/>
  <c r="AX60" i="143"/>
  <c r="AX58" i="143"/>
  <c r="AX43" i="143"/>
  <c r="AX15" i="143"/>
  <c r="AX59" i="143"/>
  <c r="AX29" i="143"/>
  <c r="AX13" i="143"/>
  <c r="AX6" i="143"/>
  <c r="AX22" i="143"/>
  <c r="AW76" i="143"/>
  <c r="AW36" i="143"/>
  <c r="AW17" i="143"/>
  <c r="AW16" i="143"/>
  <c r="AW12" i="143"/>
  <c r="AX83" i="143" l="1"/>
  <c r="AX76" i="143"/>
  <c r="AX63" i="143"/>
  <c r="AX17" i="143"/>
  <c r="AX12" i="143"/>
  <c r="AU14" i="143"/>
  <c r="AX28" i="143"/>
  <c r="AT39" i="143"/>
  <c r="AU22" i="143"/>
  <c r="AU16" i="143"/>
  <c r="AU77" i="143"/>
  <c r="AU60" i="143"/>
  <c r="AU48" i="143"/>
  <c r="AU40" i="143"/>
  <c r="AU27" i="143"/>
  <c r="AU15" i="143"/>
  <c r="AU25" i="143"/>
  <c r="AU13" i="143"/>
  <c r="AU6" i="143"/>
  <c r="AT76" i="143"/>
  <c r="AT17" i="143"/>
  <c r="AU83" i="143"/>
  <c r="AU76" i="143"/>
  <c r="AU63" i="143"/>
  <c r="AU59" i="143"/>
  <c r="AU17" i="143"/>
  <c r="AU39" i="143"/>
  <c r="AU12" i="143"/>
  <c r="AR36" i="143" l="1"/>
  <c r="AU29" i="143"/>
  <c r="AU28" i="143"/>
  <c r="AR23" i="143"/>
  <c r="AR25" i="143"/>
  <c r="AU32" i="143"/>
  <c r="AR80" i="143"/>
  <c r="AR40" i="143"/>
  <c r="AR27" i="143"/>
  <c r="AR14" i="143"/>
  <c r="AR39" i="143"/>
  <c r="AR22" i="143"/>
  <c r="AR16" i="143"/>
  <c r="AR60" i="143"/>
  <c r="AR48" i="143"/>
  <c r="AR15" i="143"/>
  <c r="AR77" i="143"/>
  <c r="AR18" i="143"/>
  <c r="AQ32" i="143"/>
  <c r="AQ76" i="143"/>
  <c r="AQ46" i="143"/>
  <c r="AQ29" i="143"/>
  <c r="AQ23" i="143"/>
  <c r="AQ17" i="143"/>
  <c r="AQ12" i="143"/>
  <c r="AR83" i="143" l="1"/>
  <c r="AR29" i="143"/>
  <c r="AR76" i="143"/>
  <c r="AR63" i="143"/>
  <c r="AR59" i="143"/>
  <c r="AR17" i="143"/>
  <c r="AR12" i="143"/>
  <c r="AL48" i="143" l="1"/>
  <c r="AL71" i="143"/>
  <c r="AL40" i="143"/>
  <c r="AL27" i="143"/>
  <c r="AL23" i="143"/>
  <c r="AL22" i="143"/>
  <c r="AL15" i="143"/>
  <c r="AL14" i="143"/>
  <c r="AL43" i="143"/>
  <c r="AL25" i="143"/>
  <c r="AL58" i="143"/>
  <c r="AL6" i="143"/>
  <c r="AL77" i="143"/>
  <c r="AL16" i="143"/>
  <c r="AI6" i="143"/>
  <c r="AI14" i="143"/>
  <c r="AI15" i="143"/>
  <c r="AI27" i="143"/>
  <c r="AK60" i="143" l="1"/>
  <c r="AK59" i="143"/>
  <c r="AL83" i="143"/>
  <c r="AL82" i="143"/>
  <c r="AL76" i="143"/>
  <c r="AL63" i="143"/>
  <c r="AL59" i="143"/>
  <c r="AL17" i="143"/>
  <c r="AL39" i="143"/>
  <c r="AL12" i="143"/>
  <c r="AI60" i="143"/>
  <c r="AL28" i="143"/>
  <c r="AL13" i="143"/>
  <c r="AI48" i="143"/>
  <c r="AI29" i="143"/>
  <c r="AI25" i="143"/>
  <c r="AI16" i="143"/>
  <c r="AI13" i="143"/>
  <c r="AI40" i="143"/>
  <c r="AI43" i="143"/>
  <c r="AI58" i="143"/>
  <c r="AI59" i="143"/>
  <c r="AI45" i="143"/>
  <c r="AI18" i="143"/>
  <c r="AI77" i="143"/>
  <c r="AH76" i="143"/>
  <c r="AH17" i="143"/>
  <c r="AI17" i="143"/>
  <c r="AI39" i="143"/>
  <c r="AI12" i="143"/>
  <c r="AC16" i="143"/>
  <c r="AC6" i="143"/>
  <c r="AC36" i="143"/>
  <c r="AC60" i="143"/>
  <c r="AC43" i="143"/>
  <c r="AC40" i="143"/>
  <c r="AC14" i="143"/>
  <c r="AC77" i="143"/>
  <c r="AC27" i="143"/>
  <c r="AC25" i="143"/>
  <c r="AC15" i="143"/>
  <c r="AC13" i="143"/>
  <c r="AC59" i="143"/>
  <c r="AC39" i="143"/>
  <c r="AC22" i="143"/>
  <c r="AB76" i="143"/>
  <c r="AB17" i="143"/>
  <c r="AC76" i="143" l="1"/>
  <c r="AC63" i="143"/>
  <c r="AC12" i="143"/>
  <c r="AC48" i="143"/>
  <c r="Z40" i="143"/>
  <c r="Z27" i="143"/>
  <c r="Z16" i="143"/>
  <c r="Z13" i="143"/>
  <c r="H13" i="143"/>
  <c r="Z15" i="143"/>
  <c r="Z43" i="143"/>
  <c r="Z48" i="143"/>
  <c r="Z29" i="143"/>
  <c r="Z25" i="143"/>
  <c r="Z14" i="143"/>
  <c r="Z6" i="143"/>
  <c r="Y17" i="143"/>
  <c r="Z83" i="143" l="1"/>
  <c r="Z76" i="143"/>
  <c r="Z63" i="143"/>
  <c r="Z59" i="143"/>
  <c r="Z17" i="143"/>
  <c r="Z39" i="143"/>
  <c r="Z12" i="143"/>
  <c r="Z60" i="143"/>
  <c r="W80" i="143"/>
  <c r="W43" i="143"/>
  <c r="W60" i="143"/>
  <c r="W40" i="143"/>
  <c r="W27" i="143"/>
  <c r="W22" i="143"/>
  <c r="W14" i="143"/>
  <c r="W16" i="143"/>
  <c r="W15" i="143"/>
  <c r="W77" i="143"/>
  <c r="W48" i="143"/>
  <c r="Q36" i="143"/>
  <c r="V76" i="143"/>
  <c r="V17" i="143"/>
  <c r="W83" i="143"/>
  <c r="W76" i="143"/>
  <c r="W63" i="143"/>
  <c r="W59" i="143"/>
  <c r="W17" i="143"/>
  <c r="W39" i="143"/>
  <c r="W12" i="143"/>
  <c r="W53" i="143"/>
  <c r="W29" i="143"/>
  <c r="Q29" i="143"/>
  <c r="Q25" i="143"/>
  <c r="Q16" i="143"/>
  <c r="Q15" i="143"/>
  <c r="Q6" i="143"/>
  <c r="Q60" i="143"/>
  <c r="Q43" i="143"/>
  <c r="Q40" i="143"/>
  <c r="Q27" i="143"/>
  <c r="Q19" i="143"/>
  <c r="Q77" i="143"/>
  <c r="Q18" i="143"/>
  <c r="Q14" i="143"/>
  <c r="Q48" i="143"/>
  <c r="Q22" i="143"/>
  <c r="W13" i="143"/>
  <c r="Q59" i="143"/>
  <c r="P76" i="143"/>
  <c r="P60" i="143"/>
  <c r="P17" i="143"/>
  <c r="Q83" i="143"/>
  <c r="Q76" i="143"/>
  <c r="Q63" i="143"/>
  <c r="Q17" i="143"/>
  <c r="Q39" i="143"/>
  <c r="Q12" i="143"/>
  <c r="Q53" i="143"/>
  <c r="Q28" i="143"/>
  <c r="N27" i="143"/>
  <c r="N40" i="143"/>
  <c r="N15" i="143"/>
  <c r="N58" i="143"/>
  <c r="N77" i="143"/>
  <c r="N24" i="143"/>
  <c r="N25" i="143"/>
  <c r="N43" i="143"/>
  <c r="N6" i="143"/>
  <c r="G40" i="143"/>
  <c r="N19" i="143"/>
  <c r="N29" i="143"/>
  <c r="N60" i="143"/>
  <c r="N16" i="143"/>
  <c r="N13" i="143"/>
  <c r="N48" i="143"/>
  <c r="N18" i="143"/>
  <c r="N14" i="143"/>
  <c r="M76" i="143"/>
  <c r="M60" i="143"/>
  <c r="M17" i="143"/>
  <c r="N83" i="143"/>
  <c r="N76" i="143"/>
  <c r="N59" i="143"/>
  <c r="N17" i="143"/>
  <c r="N39" i="143"/>
  <c r="N12" i="143"/>
  <c r="H6" i="143"/>
  <c r="H40" i="143"/>
  <c r="H25" i="143"/>
  <c r="H16" i="143"/>
  <c r="H43" i="143"/>
  <c r="H39" i="143"/>
  <c r="H14" i="143"/>
  <c r="H48" i="143"/>
  <c r="H27" i="143"/>
  <c r="H23" i="143"/>
  <c r="H58" i="143"/>
  <c r="H15" i="143"/>
  <c r="H77" i="143"/>
  <c r="H59" i="143"/>
  <c r="H60" i="143"/>
  <c r="G25" i="143"/>
  <c r="G59" i="143"/>
  <c r="G63" i="143"/>
  <c r="H63" i="143"/>
  <c r="G16" i="143" l="1"/>
  <c r="G76" i="143"/>
  <c r="G60" i="143"/>
  <c r="G53" i="143"/>
  <c r="G46" i="143"/>
  <c r="G45" i="143"/>
  <c r="G39" i="143"/>
  <c r="G36" i="143"/>
  <c r="G26" i="143"/>
  <c r="G17" i="143"/>
  <c r="H76" i="143"/>
  <c r="CS76" i="142"/>
  <c r="H83" i="143" l="1"/>
  <c r="I83" i="143" s="1"/>
  <c r="L83" i="143" s="1"/>
  <c r="O83" i="143" s="1"/>
  <c r="R83" i="143" s="1"/>
  <c r="U83" i="143" s="1"/>
  <c r="X83" i="143" s="1"/>
  <c r="AA83" i="143" s="1"/>
  <c r="AD83" i="143" s="1"/>
  <c r="AG83" i="143" s="1"/>
  <c r="AJ83" i="143" s="1"/>
  <c r="AM83" i="143" s="1"/>
  <c r="AP83" i="143" s="1"/>
  <c r="AS83" i="143" s="1"/>
  <c r="AV83" i="143" s="1"/>
  <c r="AY83" i="143" s="1"/>
  <c r="BB83" i="143" s="1"/>
  <c r="BE83" i="143" s="1"/>
  <c r="BH83" i="143" s="1"/>
  <c r="BK83" i="143" s="1"/>
  <c r="BN83" i="143" s="1"/>
  <c r="I63" i="143"/>
  <c r="CV63" i="143"/>
  <c r="H17" i="143"/>
  <c r="I17" i="143" s="1"/>
  <c r="L17" i="143" s="1"/>
  <c r="O17" i="143" s="1"/>
  <c r="R17" i="143" s="1"/>
  <c r="U17" i="143" s="1"/>
  <c r="X17" i="143" s="1"/>
  <c r="AA17" i="143" s="1"/>
  <c r="AD17" i="143" s="1"/>
  <c r="AG17" i="143" s="1"/>
  <c r="AJ17" i="143" s="1"/>
  <c r="AM17" i="143" s="1"/>
  <c r="AP17" i="143" s="1"/>
  <c r="AS17" i="143" s="1"/>
  <c r="AV17" i="143" s="1"/>
  <c r="AY17" i="143" s="1"/>
  <c r="BB17" i="143" s="1"/>
  <c r="BE17" i="143" s="1"/>
  <c r="BH17" i="143" s="1"/>
  <c r="BK17" i="143" s="1"/>
  <c r="BN17" i="143" s="1"/>
  <c r="BQ17" i="143" s="1"/>
  <c r="BT17" i="143" s="1"/>
  <c r="BW17" i="143" s="1"/>
  <c r="BZ17" i="143" s="1"/>
  <c r="CC17" i="143" s="1"/>
  <c r="CF17" i="143" s="1"/>
  <c r="CI17" i="143" s="1"/>
  <c r="CL17" i="143" s="1"/>
  <c r="CO17" i="143" s="1"/>
  <c r="CR17" i="143" s="1"/>
  <c r="CU17" i="143" s="1"/>
  <c r="CV17" i="143"/>
  <c r="I39" i="143"/>
  <c r="CV16" i="143"/>
  <c r="H12" i="143"/>
  <c r="CW12" i="143" s="1"/>
  <c r="CW16" i="143"/>
  <c r="CV60" i="143"/>
  <c r="CV45" i="143"/>
  <c r="CV36" i="143"/>
  <c r="CW14" i="143"/>
  <c r="I16" i="143"/>
  <c r="DD25" i="142"/>
  <c r="DD43" i="142"/>
  <c r="DD15" i="142"/>
  <c r="CJ16" i="142"/>
  <c r="DD60" i="142"/>
  <c r="I59" i="143"/>
  <c r="DD16" i="142"/>
  <c r="CW48" i="143"/>
  <c r="I13" i="143"/>
  <c r="L13" i="143" s="1"/>
  <c r="O13" i="143" s="1"/>
  <c r="R13" i="143" s="1"/>
  <c r="U13" i="143" s="1"/>
  <c r="X13" i="143" s="1"/>
  <c r="AA13" i="143" s="1"/>
  <c r="AD13" i="143" s="1"/>
  <c r="AG13" i="143" s="1"/>
  <c r="AJ13" i="143" s="1"/>
  <c r="AM13" i="143" s="1"/>
  <c r="AP13" i="143" s="1"/>
  <c r="AS13" i="143" s="1"/>
  <c r="AV13" i="143" s="1"/>
  <c r="AY13" i="143" s="1"/>
  <c r="BB13" i="143" s="1"/>
  <c r="BE13" i="143" s="1"/>
  <c r="BH13" i="143" s="1"/>
  <c r="BK13" i="143" s="1"/>
  <c r="BN13" i="143" s="1"/>
  <c r="BQ13" i="143" s="1"/>
  <c r="BT13" i="143" s="1"/>
  <c r="BW13" i="143" s="1"/>
  <c r="BZ13" i="143" s="1"/>
  <c r="CC13" i="143" s="1"/>
  <c r="CF13" i="143" s="1"/>
  <c r="CI13" i="143" s="1"/>
  <c r="CL13" i="143" s="1"/>
  <c r="CO13" i="143" s="1"/>
  <c r="CR13" i="143" s="1"/>
  <c r="CU13" i="143" s="1"/>
  <c r="DD40" i="142"/>
  <c r="DD27" i="142"/>
  <c r="DD14" i="142"/>
  <c r="DD77" i="142"/>
  <c r="DD6" i="142"/>
  <c r="DD48" i="142"/>
  <c r="CQ16" i="142"/>
  <c r="CT83" i="142"/>
  <c r="CT76" i="142"/>
  <c r="CT63" i="142"/>
  <c r="CT59" i="142"/>
  <c r="CT17" i="142"/>
  <c r="CT39" i="142"/>
  <c r="CT16" i="142"/>
  <c r="CT12" i="142"/>
  <c r="CT15" i="142"/>
  <c r="CQ80" i="142"/>
  <c r="CQ60" i="142"/>
  <c r="CQ48" i="142"/>
  <c r="CQ40" i="142"/>
  <c r="CQ27" i="142"/>
  <c r="CW93" i="143"/>
  <c r="CV93" i="143"/>
  <c r="I93" i="143"/>
  <c r="L93" i="143" s="1"/>
  <c r="O93" i="143" s="1"/>
  <c r="R93" i="143" s="1"/>
  <c r="U93" i="143" s="1"/>
  <c r="X93" i="143" s="1"/>
  <c r="AA93" i="143" s="1"/>
  <c r="AD93" i="143" s="1"/>
  <c r="AG93" i="143" s="1"/>
  <c r="AJ93" i="143" s="1"/>
  <c r="AM93" i="143" s="1"/>
  <c r="AP93" i="143" s="1"/>
  <c r="AS93" i="143" s="1"/>
  <c r="AV93" i="143" s="1"/>
  <c r="AY93" i="143" s="1"/>
  <c r="BB93" i="143" s="1"/>
  <c r="BE93" i="143" s="1"/>
  <c r="BH93" i="143" s="1"/>
  <c r="BK93" i="143" s="1"/>
  <c r="BN93" i="143" s="1"/>
  <c r="BQ93" i="143" s="1"/>
  <c r="BT93" i="143" s="1"/>
  <c r="BW93" i="143" s="1"/>
  <c r="BZ93" i="143" s="1"/>
  <c r="CC93" i="143" s="1"/>
  <c r="CF93" i="143" s="1"/>
  <c r="CI93" i="143" s="1"/>
  <c r="CL93" i="143" s="1"/>
  <c r="CO93" i="143" s="1"/>
  <c r="CR93" i="143" s="1"/>
  <c r="CU93" i="143" s="1"/>
  <c r="CW92" i="143"/>
  <c r="CV92" i="143"/>
  <c r="I92" i="143"/>
  <c r="L92" i="143" s="1"/>
  <c r="O92" i="143" s="1"/>
  <c r="R92" i="143" s="1"/>
  <c r="U92" i="143" s="1"/>
  <c r="X92" i="143" s="1"/>
  <c r="AA92" i="143" s="1"/>
  <c r="AD92" i="143" s="1"/>
  <c r="AG92" i="143" s="1"/>
  <c r="AJ92" i="143" s="1"/>
  <c r="AM92" i="143" s="1"/>
  <c r="AP92" i="143" s="1"/>
  <c r="AS92" i="143" s="1"/>
  <c r="AV92" i="143" s="1"/>
  <c r="AY92" i="143" s="1"/>
  <c r="BB92" i="143" s="1"/>
  <c r="BE92" i="143" s="1"/>
  <c r="BH92" i="143" s="1"/>
  <c r="BK92" i="143" s="1"/>
  <c r="BN92" i="143" s="1"/>
  <c r="BQ92" i="143" s="1"/>
  <c r="BT92" i="143" s="1"/>
  <c r="BW92" i="143" s="1"/>
  <c r="BZ92" i="143" s="1"/>
  <c r="CC92" i="143" s="1"/>
  <c r="CF92" i="143" s="1"/>
  <c r="CI92" i="143" s="1"/>
  <c r="CL92" i="143" s="1"/>
  <c r="CO92" i="143" s="1"/>
  <c r="CR92" i="143" s="1"/>
  <c r="CU92" i="143" s="1"/>
  <c r="CW91" i="143"/>
  <c r="CV91" i="143"/>
  <c r="I91" i="143"/>
  <c r="L91" i="143" s="1"/>
  <c r="O91" i="143" s="1"/>
  <c r="R91" i="143" s="1"/>
  <c r="U91" i="143" s="1"/>
  <c r="X91" i="143" s="1"/>
  <c r="AA91" i="143" s="1"/>
  <c r="AD91" i="143" s="1"/>
  <c r="AG91" i="143" s="1"/>
  <c r="AJ91" i="143" s="1"/>
  <c r="AM91" i="143" s="1"/>
  <c r="AP91" i="143" s="1"/>
  <c r="AS91" i="143" s="1"/>
  <c r="AV91" i="143" s="1"/>
  <c r="AY91" i="143" s="1"/>
  <c r="BB91" i="143" s="1"/>
  <c r="BE91" i="143" s="1"/>
  <c r="BH91" i="143" s="1"/>
  <c r="BK91" i="143" s="1"/>
  <c r="BN91" i="143" s="1"/>
  <c r="BQ91" i="143" s="1"/>
  <c r="BT91" i="143" s="1"/>
  <c r="BW91" i="143" s="1"/>
  <c r="BZ91" i="143" s="1"/>
  <c r="CC91" i="143" s="1"/>
  <c r="CF91" i="143" s="1"/>
  <c r="CI91" i="143" s="1"/>
  <c r="CL91" i="143" s="1"/>
  <c r="CO91" i="143" s="1"/>
  <c r="CR91" i="143" s="1"/>
  <c r="CU91" i="143" s="1"/>
  <c r="CW90" i="143"/>
  <c r="CV90" i="143"/>
  <c r="I90" i="143"/>
  <c r="L90" i="143" s="1"/>
  <c r="O90" i="143" s="1"/>
  <c r="R90" i="143" s="1"/>
  <c r="U90" i="143" s="1"/>
  <c r="X90" i="143" s="1"/>
  <c r="AA90" i="143" s="1"/>
  <c r="AD90" i="143" s="1"/>
  <c r="AG90" i="143" s="1"/>
  <c r="AJ90" i="143" s="1"/>
  <c r="AM90" i="143" s="1"/>
  <c r="AP90" i="143" s="1"/>
  <c r="AS90" i="143" s="1"/>
  <c r="AV90" i="143" s="1"/>
  <c r="AY90" i="143" s="1"/>
  <c r="BB90" i="143" s="1"/>
  <c r="BE90" i="143" s="1"/>
  <c r="BH90" i="143" s="1"/>
  <c r="BK90" i="143" s="1"/>
  <c r="BN90" i="143" s="1"/>
  <c r="BQ90" i="143" s="1"/>
  <c r="BT90" i="143" s="1"/>
  <c r="BW90" i="143" s="1"/>
  <c r="BZ90" i="143" s="1"/>
  <c r="CC90" i="143" s="1"/>
  <c r="CF90" i="143" s="1"/>
  <c r="CI90" i="143" s="1"/>
  <c r="CL90" i="143" s="1"/>
  <c r="CO90" i="143" s="1"/>
  <c r="CR90" i="143" s="1"/>
  <c r="CU90" i="143" s="1"/>
  <c r="CW89" i="143"/>
  <c r="CV89" i="143"/>
  <c r="I89" i="143"/>
  <c r="L89" i="143" s="1"/>
  <c r="O89" i="143" s="1"/>
  <c r="R89" i="143" s="1"/>
  <c r="U89" i="143" s="1"/>
  <c r="X89" i="143" s="1"/>
  <c r="AA89" i="143" s="1"/>
  <c r="AD89" i="143" s="1"/>
  <c r="AG89" i="143" s="1"/>
  <c r="AJ89" i="143" s="1"/>
  <c r="AM89" i="143" s="1"/>
  <c r="AP89" i="143" s="1"/>
  <c r="AS89" i="143" s="1"/>
  <c r="AV89" i="143" s="1"/>
  <c r="AY89" i="143" s="1"/>
  <c r="BB89" i="143" s="1"/>
  <c r="BE89" i="143" s="1"/>
  <c r="BH89" i="143" s="1"/>
  <c r="BK89" i="143" s="1"/>
  <c r="BN89" i="143" s="1"/>
  <c r="BQ89" i="143" s="1"/>
  <c r="BT89" i="143" s="1"/>
  <c r="BW89" i="143" s="1"/>
  <c r="BZ89" i="143" s="1"/>
  <c r="CC89" i="143" s="1"/>
  <c r="CF89" i="143" s="1"/>
  <c r="CI89" i="143" s="1"/>
  <c r="CL89" i="143" s="1"/>
  <c r="CO89" i="143" s="1"/>
  <c r="CR89" i="143" s="1"/>
  <c r="CU89" i="143" s="1"/>
  <c r="CW88" i="143"/>
  <c r="CV88" i="143"/>
  <c r="I88" i="143"/>
  <c r="L88" i="143" s="1"/>
  <c r="O88" i="143" s="1"/>
  <c r="R88" i="143" s="1"/>
  <c r="U88" i="143" s="1"/>
  <c r="X88" i="143" s="1"/>
  <c r="AA88" i="143" s="1"/>
  <c r="AD88" i="143" s="1"/>
  <c r="AG88" i="143" s="1"/>
  <c r="AJ88" i="143" s="1"/>
  <c r="AM88" i="143" s="1"/>
  <c r="AP88" i="143" s="1"/>
  <c r="AS88" i="143" s="1"/>
  <c r="AV88" i="143" s="1"/>
  <c r="AY88" i="143" s="1"/>
  <c r="BB88" i="143" s="1"/>
  <c r="BE88" i="143" s="1"/>
  <c r="BH88" i="143" s="1"/>
  <c r="BK88" i="143" s="1"/>
  <c r="BN88" i="143" s="1"/>
  <c r="BQ88" i="143" s="1"/>
  <c r="BT88" i="143" s="1"/>
  <c r="BW88" i="143" s="1"/>
  <c r="BZ88" i="143" s="1"/>
  <c r="CC88" i="143" s="1"/>
  <c r="CF88" i="143" s="1"/>
  <c r="CI88" i="143" s="1"/>
  <c r="CL88" i="143" s="1"/>
  <c r="CO88" i="143" s="1"/>
  <c r="CR88" i="143" s="1"/>
  <c r="CU88" i="143" s="1"/>
  <c r="CW87" i="143"/>
  <c r="CV87" i="143"/>
  <c r="I87" i="143"/>
  <c r="L87" i="143" s="1"/>
  <c r="O87" i="143" s="1"/>
  <c r="R87" i="143" s="1"/>
  <c r="U87" i="143" s="1"/>
  <c r="X87" i="143" s="1"/>
  <c r="AA87" i="143" s="1"/>
  <c r="AD87" i="143" s="1"/>
  <c r="AG87" i="143" s="1"/>
  <c r="AJ87" i="143" s="1"/>
  <c r="AM87" i="143" s="1"/>
  <c r="AP87" i="143" s="1"/>
  <c r="AS87" i="143" s="1"/>
  <c r="AV87" i="143" s="1"/>
  <c r="AY87" i="143" s="1"/>
  <c r="BB87" i="143" s="1"/>
  <c r="BE87" i="143" s="1"/>
  <c r="BH87" i="143" s="1"/>
  <c r="BK87" i="143" s="1"/>
  <c r="BN87" i="143" s="1"/>
  <c r="BQ87" i="143" s="1"/>
  <c r="BT87" i="143" s="1"/>
  <c r="BW87" i="143" s="1"/>
  <c r="BZ87" i="143" s="1"/>
  <c r="CC87" i="143" s="1"/>
  <c r="CF87" i="143" s="1"/>
  <c r="CI87" i="143" s="1"/>
  <c r="CL87" i="143" s="1"/>
  <c r="CO87" i="143" s="1"/>
  <c r="CR87" i="143" s="1"/>
  <c r="CU87" i="143" s="1"/>
  <c r="CW86" i="143"/>
  <c r="CV86" i="143"/>
  <c r="I86" i="143"/>
  <c r="L86" i="143" s="1"/>
  <c r="O86" i="143" s="1"/>
  <c r="R86" i="143" s="1"/>
  <c r="U86" i="143" s="1"/>
  <c r="X86" i="143" s="1"/>
  <c r="AA86" i="143" s="1"/>
  <c r="AD86" i="143" s="1"/>
  <c r="AG86" i="143" s="1"/>
  <c r="AJ86" i="143" s="1"/>
  <c r="AM86" i="143" s="1"/>
  <c r="AP86" i="143" s="1"/>
  <c r="AS86" i="143" s="1"/>
  <c r="AV86" i="143" s="1"/>
  <c r="AY86" i="143" s="1"/>
  <c r="BB86" i="143" s="1"/>
  <c r="BE86" i="143" s="1"/>
  <c r="BH86" i="143" s="1"/>
  <c r="BK86" i="143" s="1"/>
  <c r="BN86" i="143" s="1"/>
  <c r="BQ86" i="143" s="1"/>
  <c r="BT86" i="143" s="1"/>
  <c r="BW86" i="143" s="1"/>
  <c r="BZ86" i="143" s="1"/>
  <c r="CC86" i="143" s="1"/>
  <c r="CF86" i="143" s="1"/>
  <c r="CI86" i="143" s="1"/>
  <c r="CL86" i="143" s="1"/>
  <c r="CO86" i="143" s="1"/>
  <c r="CR86" i="143" s="1"/>
  <c r="CU86" i="143" s="1"/>
  <c r="CW85" i="143"/>
  <c r="CV85" i="143"/>
  <c r="I85" i="143"/>
  <c r="L85" i="143" s="1"/>
  <c r="O85" i="143" s="1"/>
  <c r="R85" i="143" s="1"/>
  <c r="U85" i="143" s="1"/>
  <c r="X85" i="143" s="1"/>
  <c r="AA85" i="143" s="1"/>
  <c r="AD85" i="143" s="1"/>
  <c r="AG85" i="143" s="1"/>
  <c r="AJ85" i="143" s="1"/>
  <c r="AM85" i="143" s="1"/>
  <c r="AP85" i="143" s="1"/>
  <c r="AS85" i="143" s="1"/>
  <c r="AV85" i="143" s="1"/>
  <c r="AY85" i="143" s="1"/>
  <c r="BB85" i="143" s="1"/>
  <c r="BE85" i="143" s="1"/>
  <c r="BH85" i="143" s="1"/>
  <c r="BK85" i="143" s="1"/>
  <c r="BN85" i="143" s="1"/>
  <c r="BQ85" i="143" s="1"/>
  <c r="BT85" i="143" s="1"/>
  <c r="BW85" i="143" s="1"/>
  <c r="BZ85" i="143" s="1"/>
  <c r="CC85" i="143" s="1"/>
  <c r="CF85" i="143" s="1"/>
  <c r="CI85" i="143" s="1"/>
  <c r="CL85" i="143" s="1"/>
  <c r="CO85" i="143" s="1"/>
  <c r="CR85" i="143" s="1"/>
  <c r="CU85" i="143" s="1"/>
  <c r="CW84" i="143"/>
  <c r="CV84" i="143"/>
  <c r="I84" i="143"/>
  <c r="L84" i="143" s="1"/>
  <c r="O84" i="143" s="1"/>
  <c r="R84" i="143" s="1"/>
  <c r="U84" i="143" s="1"/>
  <c r="X84" i="143" s="1"/>
  <c r="AA84" i="143" s="1"/>
  <c r="AD84" i="143" s="1"/>
  <c r="AG84" i="143" s="1"/>
  <c r="AJ84" i="143" s="1"/>
  <c r="AM84" i="143" s="1"/>
  <c r="AP84" i="143" s="1"/>
  <c r="AS84" i="143" s="1"/>
  <c r="AV84" i="143" s="1"/>
  <c r="AY84" i="143" s="1"/>
  <c r="BB84" i="143" s="1"/>
  <c r="BE84" i="143" s="1"/>
  <c r="BH84" i="143" s="1"/>
  <c r="BK84" i="143" s="1"/>
  <c r="BN84" i="143" s="1"/>
  <c r="BQ84" i="143" s="1"/>
  <c r="BT84" i="143" s="1"/>
  <c r="BW84" i="143" s="1"/>
  <c r="BZ84" i="143" s="1"/>
  <c r="CC84" i="143" s="1"/>
  <c r="CF84" i="143" s="1"/>
  <c r="CI84" i="143" s="1"/>
  <c r="CL84" i="143" s="1"/>
  <c r="CO84" i="143" s="1"/>
  <c r="CR84" i="143" s="1"/>
  <c r="CU84" i="143" s="1"/>
  <c r="CV83" i="143"/>
  <c r="CV82" i="143"/>
  <c r="I82" i="143"/>
  <c r="L82" i="143" s="1"/>
  <c r="O82" i="143" s="1"/>
  <c r="R82" i="143" s="1"/>
  <c r="U82" i="143" s="1"/>
  <c r="X82" i="143" s="1"/>
  <c r="AA82" i="143" s="1"/>
  <c r="AD82" i="143" s="1"/>
  <c r="AG82" i="143" s="1"/>
  <c r="AJ82" i="143" s="1"/>
  <c r="CV81" i="143"/>
  <c r="CW81" i="143"/>
  <c r="I81" i="143"/>
  <c r="L81" i="143" s="1"/>
  <c r="O81" i="143" s="1"/>
  <c r="R81" i="143" s="1"/>
  <c r="U81" i="143" s="1"/>
  <c r="X81" i="143" s="1"/>
  <c r="AA81" i="143" s="1"/>
  <c r="AD81" i="143" s="1"/>
  <c r="AG81" i="143" s="1"/>
  <c r="AJ81" i="143" s="1"/>
  <c r="AM81" i="143" s="1"/>
  <c r="AP81" i="143" s="1"/>
  <c r="AS81" i="143" s="1"/>
  <c r="AV81" i="143" s="1"/>
  <c r="AY81" i="143" s="1"/>
  <c r="BB81" i="143" s="1"/>
  <c r="BE81" i="143" s="1"/>
  <c r="BH81" i="143" s="1"/>
  <c r="BK81" i="143" s="1"/>
  <c r="BN81" i="143" s="1"/>
  <c r="BQ81" i="143" s="1"/>
  <c r="BT81" i="143" s="1"/>
  <c r="BW81" i="143" s="1"/>
  <c r="BZ81" i="143" s="1"/>
  <c r="CC81" i="143" s="1"/>
  <c r="CF81" i="143" s="1"/>
  <c r="CI81" i="143" s="1"/>
  <c r="CL81" i="143" s="1"/>
  <c r="CO81" i="143" s="1"/>
  <c r="CR81" i="143" s="1"/>
  <c r="CU81" i="143" s="1"/>
  <c r="CV80" i="143"/>
  <c r="I80" i="143"/>
  <c r="L80" i="143" s="1"/>
  <c r="O80" i="143" s="1"/>
  <c r="R80" i="143" s="1"/>
  <c r="U80" i="143" s="1"/>
  <c r="X80" i="143" s="1"/>
  <c r="AA80" i="143" s="1"/>
  <c r="AD80" i="143" s="1"/>
  <c r="AG80" i="143" s="1"/>
  <c r="AJ80" i="143" s="1"/>
  <c r="AM80" i="143" s="1"/>
  <c r="AP80" i="143" s="1"/>
  <c r="AS80" i="143" s="1"/>
  <c r="AV80" i="143" s="1"/>
  <c r="AY80" i="143" s="1"/>
  <c r="BB80" i="143" s="1"/>
  <c r="BE80" i="143" s="1"/>
  <c r="BH80" i="143" s="1"/>
  <c r="BK80" i="143" s="1"/>
  <c r="BN80" i="143" s="1"/>
  <c r="BQ80" i="143" s="1"/>
  <c r="BT80" i="143" s="1"/>
  <c r="BW80" i="143" s="1"/>
  <c r="BZ80" i="143" s="1"/>
  <c r="CC80" i="143" s="1"/>
  <c r="CF80" i="143" s="1"/>
  <c r="CI80" i="143" s="1"/>
  <c r="CL80" i="143" s="1"/>
  <c r="CO80" i="143" s="1"/>
  <c r="CR80" i="143" s="1"/>
  <c r="CU80" i="143" s="1"/>
  <c r="CW79" i="143"/>
  <c r="CV79" i="143"/>
  <c r="I79" i="143"/>
  <c r="L79" i="143" s="1"/>
  <c r="O79" i="143" s="1"/>
  <c r="R79" i="143" s="1"/>
  <c r="U79" i="143" s="1"/>
  <c r="X79" i="143" s="1"/>
  <c r="AA79" i="143" s="1"/>
  <c r="AD79" i="143" s="1"/>
  <c r="AG79" i="143" s="1"/>
  <c r="AJ79" i="143" s="1"/>
  <c r="AM79" i="143" s="1"/>
  <c r="AP79" i="143" s="1"/>
  <c r="AS79" i="143" s="1"/>
  <c r="AV79" i="143" s="1"/>
  <c r="AY79" i="143" s="1"/>
  <c r="BB79" i="143" s="1"/>
  <c r="BE79" i="143" s="1"/>
  <c r="BH79" i="143" s="1"/>
  <c r="BK79" i="143" s="1"/>
  <c r="BN79" i="143" s="1"/>
  <c r="BQ79" i="143" s="1"/>
  <c r="BT79" i="143" s="1"/>
  <c r="BW79" i="143" s="1"/>
  <c r="BZ79" i="143" s="1"/>
  <c r="CC79" i="143" s="1"/>
  <c r="CF79" i="143" s="1"/>
  <c r="CI79" i="143" s="1"/>
  <c r="CL79" i="143" s="1"/>
  <c r="CO79" i="143" s="1"/>
  <c r="CR79" i="143" s="1"/>
  <c r="CU79" i="143" s="1"/>
  <c r="CZ78" i="143"/>
  <c r="CW78" i="143"/>
  <c r="CV78" i="143"/>
  <c r="I78" i="143"/>
  <c r="L78" i="143" s="1"/>
  <c r="O78" i="143" s="1"/>
  <c r="R78" i="143" s="1"/>
  <c r="U78" i="143" s="1"/>
  <c r="X78" i="143" s="1"/>
  <c r="AA78" i="143" s="1"/>
  <c r="AD78" i="143" s="1"/>
  <c r="AG78" i="143" s="1"/>
  <c r="AJ78" i="143" s="1"/>
  <c r="AM78" i="143" s="1"/>
  <c r="AP78" i="143" s="1"/>
  <c r="AS78" i="143" s="1"/>
  <c r="AV78" i="143" s="1"/>
  <c r="AY78" i="143" s="1"/>
  <c r="BB78" i="143" s="1"/>
  <c r="BE78" i="143" s="1"/>
  <c r="BH78" i="143" s="1"/>
  <c r="BK78" i="143" s="1"/>
  <c r="BN78" i="143" s="1"/>
  <c r="BQ78" i="143" s="1"/>
  <c r="BT78" i="143" s="1"/>
  <c r="BW78" i="143" s="1"/>
  <c r="BZ78" i="143" s="1"/>
  <c r="CC78" i="143" s="1"/>
  <c r="CF78" i="143" s="1"/>
  <c r="CI78" i="143" s="1"/>
  <c r="CL78" i="143" s="1"/>
  <c r="CO78" i="143" s="1"/>
  <c r="CR78" i="143" s="1"/>
  <c r="CU78" i="143" s="1"/>
  <c r="DB78" i="143" s="1"/>
  <c r="DE78" i="143" s="1"/>
  <c r="CV77" i="143"/>
  <c r="I77" i="143"/>
  <c r="L77" i="143" s="1"/>
  <c r="O77" i="143" s="1"/>
  <c r="R77" i="143" s="1"/>
  <c r="U77" i="143" s="1"/>
  <c r="X77" i="143" s="1"/>
  <c r="AA77" i="143" s="1"/>
  <c r="AD77" i="143" s="1"/>
  <c r="AG77" i="143" s="1"/>
  <c r="AJ77" i="143" s="1"/>
  <c r="AM77" i="143" s="1"/>
  <c r="AP77" i="143" s="1"/>
  <c r="AS77" i="143" s="1"/>
  <c r="AV77" i="143" s="1"/>
  <c r="AY77" i="143" s="1"/>
  <c r="I76" i="143"/>
  <c r="L76" i="143" s="1"/>
  <c r="O76" i="143" s="1"/>
  <c r="R76" i="143" s="1"/>
  <c r="U76" i="143" s="1"/>
  <c r="X76" i="143" s="1"/>
  <c r="CW75" i="143"/>
  <c r="CV75" i="143"/>
  <c r="I75" i="143"/>
  <c r="L75" i="143" s="1"/>
  <c r="O75" i="143" s="1"/>
  <c r="R75" i="143" s="1"/>
  <c r="U75" i="143" s="1"/>
  <c r="X75" i="143" s="1"/>
  <c r="AA75" i="143" s="1"/>
  <c r="AD75" i="143" s="1"/>
  <c r="AG75" i="143" s="1"/>
  <c r="AJ75" i="143" s="1"/>
  <c r="AM75" i="143" s="1"/>
  <c r="AP75" i="143" s="1"/>
  <c r="AS75" i="143" s="1"/>
  <c r="AV75" i="143" s="1"/>
  <c r="AY75" i="143" s="1"/>
  <c r="BB75" i="143" s="1"/>
  <c r="BE75" i="143" s="1"/>
  <c r="BH75" i="143" s="1"/>
  <c r="BK75" i="143" s="1"/>
  <c r="BN75" i="143" s="1"/>
  <c r="BQ75" i="143" s="1"/>
  <c r="BT75" i="143" s="1"/>
  <c r="BW75" i="143" s="1"/>
  <c r="BZ75" i="143" s="1"/>
  <c r="CC75" i="143" s="1"/>
  <c r="CF75" i="143" s="1"/>
  <c r="CI75" i="143" s="1"/>
  <c r="CL75" i="143" s="1"/>
  <c r="CO75" i="143" s="1"/>
  <c r="CR75" i="143" s="1"/>
  <c r="CU75" i="143" s="1"/>
  <c r="CV74" i="143"/>
  <c r="CW74" i="143"/>
  <c r="I74" i="143"/>
  <c r="L74" i="143" s="1"/>
  <c r="O74" i="143" s="1"/>
  <c r="R74" i="143" s="1"/>
  <c r="U74" i="143" s="1"/>
  <c r="X74" i="143" s="1"/>
  <c r="AA74" i="143" s="1"/>
  <c r="AD74" i="143" s="1"/>
  <c r="AG74" i="143" s="1"/>
  <c r="AJ74" i="143" s="1"/>
  <c r="AM74" i="143" s="1"/>
  <c r="AP74" i="143" s="1"/>
  <c r="AS74" i="143" s="1"/>
  <c r="AV74" i="143" s="1"/>
  <c r="AY74" i="143" s="1"/>
  <c r="BB74" i="143" s="1"/>
  <c r="BE74" i="143" s="1"/>
  <c r="BH74" i="143" s="1"/>
  <c r="BK74" i="143" s="1"/>
  <c r="BN74" i="143" s="1"/>
  <c r="BQ74" i="143" s="1"/>
  <c r="BT74" i="143" s="1"/>
  <c r="BW74" i="143" s="1"/>
  <c r="BZ74" i="143" s="1"/>
  <c r="CC74" i="143" s="1"/>
  <c r="CF74" i="143" s="1"/>
  <c r="CI74" i="143" s="1"/>
  <c r="CL74" i="143" s="1"/>
  <c r="CO74" i="143" s="1"/>
  <c r="CR74" i="143" s="1"/>
  <c r="CU74" i="143" s="1"/>
  <c r="CW73" i="143"/>
  <c r="CV73" i="143"/>
  <c r="I73" i="143"/>
  <c r="L73" i="143" s="1"/>
  <c r="O73" i="143" s="1"/>
  <c r="R73" i="143" s="1"/>
  <c r="U73" i="143" s="1"/>
  <c r="X73" i="143" s="1"/>
  <c r="AA73" i="143" s="1"/>
  <c r="AD73" i="143" s="1"/>
  <c r="AG73" i="143" s="1"/>
  <c r="AJ73" i="143" s="1"/>
  <c r="AM73" i="143" s="1"/>
  <c r="AP73" i="143" s="1"/>
  <c r="AS73" i="143" s="1"/>
  <c r="AV73" i="143" s="1"/>
  <c r="AY73" i="143" s="1"/>
  <c r="BB73" i="143" s="1"/>
  <c r="BE73" i="143" s="1"/>
  <c r="BH73" i="143" s="1"/>
  <c r="BK73" i="143" s="1"/>
  <c r="BN73" i="143" s="1"/>
  <c r="BQ73" i="143" s="1"/>
  <c r="BT73" i="143" s="1"/>
  <c r="BW73" i="143" s="1"/>
  <c r="BZ73" i="143" s="1"/>
  <c r="CC73" i="143" s="1"/>
  <c r="CF73" i="143" s="1"/>
  <c r="CI73" i="143" s="1"/>
  <c r="CL73" i="143" s="1"/>
  <c r="CO73" i="143" s="1"/>
  <c r="CR73" i="143" s="1"/>
  <c r="CU73" i="143" s="1"/>
  <c r="CW72" i="143"/>
  <c r="CV72" i="143"/>
  <c r="I72" i="143"/>
  <c r="L72" i="143" s="1"/>
  <c r="O72" i="143" s="1"/>
  <c r="R72" i="143" s="1"/>
  <c r="U72" i="143" s="1"/>
  <c r="X72" i="143" s="1"/>
  <c r="AA72" i="143" s="1"/>
  <c r="AD72" i="143" s="1"/>
  <c r="AG72" i="143" s="1"/>
  <c r="AJ72" i="143" s="1"/>
  <c r="AM72" i="143" s="1"/>
  <c r="AP72" i="143" s="1"/>
  <c r="AS72" i="143" s="1"/>
  <c r="AV72" i="143" s="1"/>
  <c r="AY72" i="143" s="1"/>
  <c r="BB72" i="143" s="1"/>
  <c r="BE72" i="143" s="1"/>
  <c r="BH72" i="143" s="1"/>
  <c r="BK72" i="143" s="1"/>
  <c r="BN72" i="143" s="1"/>
  <c r="BQ72" i="143" s="1"/>
  <c r="BT72" i="143" s="1"/>
  <c r="BW72" i="143" s="1"/>
  <c r="BZ72" i="143" s="1"/>
  <c r="CC72" i="143" s="1"/>
  <c r="CF72" i="143" s="1"/>
  <c r="CI72" i="143" s="1"/>
  <c r="CL72" i="143" s="1"/>
  <c r="CO72" i="143" s="1"/>
  <c r="CR72" i="143" s="1"/>
  <c r="CU72" i="143" s="1"/>
  <c r="CV71" i="143"/>
  <c r="I71" i="143"/>
  <c r="L71" i="143" s="1"/>
  <c r="O71" i="143" s="1"/>
  <c r="R71" i="143" s="1"/>
  <c r="U71" i="143" s="1"/>
  <c r="X71" i="143" s="1"/>
  <c r="AA71" i="143" s="1"/>
  <c r="AD71" i="143" s="1"/>
  <c r="AG71" i="143" s="1"/>
  <c r="AJ71" i="143" s="1"/>
  <c r="AM71" i="143" s="1"/>
  <c r="AP71" i="143" s="1"/>
  <c r="AS71" i="143" s="1"/>
  <c r="AV71" i="143" s="1"/>
  <c r="AY71" i="143" s="1"/>
  <c r="BB71" i="143" s="1"/>
  <c r="BE71" i="143" s="1"/>
  <c r="BH71" i="143" s="1"/>
  <c r="BK71" i="143" s="1"/>
  <c r="BN71" i="143" s="1"/>
  <c r="BQ71" i="143" s="1"/>
  <c r="BT71" i="143" s="1"/>
  <c r="BW71" i="143" s="1"/>
  <c r="BZ71" i="143" s="1"/>
  <c r="CC71" i="143" s="1"/>
  <c r="CF71" i="143" s="1"/>
  <c r="CI71" i="143" s="1"/>
  <c r="CL71" i="143" s="1"/>
  <c r="CO71" i="143" s="1"/>
  <c r="CR71" i="143" s="1"/>
  <c r="CU71" i="143" s="1"/>
  <c r="CW70" i="143"/>
  <c r="CV70" i="143"/>
  <c r="I70" i="143"/>
  <c r="L70" i="143" s="1"/>
  <c r="O70" i="143" s="1"/>
  <c r="R70" i="143" s="1"/>
  <c r="U70" i="143" s="1"/>
  <c r="X70" i="143" s="1"/>
  <c r="AA70" i="143" s="1"/>
  <c r="AD70" i="143" s="1"/>
  <c r="AG70" i="143" s="1"/>
  <c r="AJ70" i="143" s="1"/>
  <c r="AM70" i="143" s="1"/>
  <c r="AP70" i="143" s="1"/>
  <c r="AS70" i="143" s="1"/>
  <c r="AV70" i="143" s="1"/>
  <c r="AY70" i="143" s="1"/>
  <c r="BB70" i="143" s="1"/>
  <c r="BE70" i="143" s="1"/>
  <c r="BH70" i="143" s="1"/>
  <c r="BK70" i="143" s="1"/>
  <c r="BN70" i="143" s="1"/>
  <c r="BQ70" i="143" s="1"/>
  <c r="BT70" i="143" s="1"/>
  <c r="BW70" i="143" s="1"/>
  <c r="BZ70" i="143" s="1"/>
  <c r="CC70" i="143" s="1"/>
  <c r="CF70" i="143" s="1"/>
  <c r="CI70" i="143" s="1"/>
  <c r="CL70" i="143" s="1"/>
  <c r="CO70" i="143" s="1"/>
  <c r="CR70" i="143" s="1"/>
  <c r="CU70" i="143" s="1"/>
  <c r="CW69" i="143"/>
  <c r="CV69" i="143"/>
  <c r="I69" i="143"/>
  <c r="L69" i="143" s="1"/>
  <c r="O69" i="143" s="1"/>
  <c r="R69" i="143" s="1"/>
  <c r="U69" i="143" s="1"/>
  <c r="X69" i="143" s="1"/>
  <c r="AA69" i="143" s="1"/>
  <c r="AD69" i="143" s="1"/>
  <c r="AG69" i="143" s="1"/>
  <c r="AJ69" i="143" s="1"/>
  <c r="AM69" i="143" s="1"/>
  <c r="AP69" i="143" s="1"/>
  <c r="AS69" i="143" s="1"/>
  <c r="AV69" i="143" s="1"/>
  <c r="AY69" i="143" s="1"/>
  <c r="BB69" i="143" s="1"/>
  <c r="BE69" i="143" s="1"/>
  <c r="BH69" i="143" s="1"/>
  <c r="BK69" i="143" s="1"/>
  <c r="BN69" i="143" s="1"/>
  <c r="BQ69" i="143" s="1"/>
  <c r="BT69" i="143" s="1"/>
  <c r="BW69" i="143" s="1"/>
  <c r="BZ69" i="143" s="1"/>
  <c r="CC69" i="143" s="1"/>
  <c r="CF69" i="143" s="1"/>
  <c r="CI69" i="143" s="1"/>
  <c r="CL69" i="143" s="1"/>
  <c r="CO69" i="143" s="1"/>
  <c r="CR69" i="143" s="1"/>
  <c r="CU69" i="143" s="1"/>
  <c r="CW68" i="143"/>
  <c r="CV68" i="143"/>
  <c r="I68" i="143"/>
  <c r="L68" i="143" s="1"/>
  <c r="O68" i="143" s="1"/>
  <c r="R68" i="143" s="1"/>
  <c r="U68" i="143" s="1"/>
  <c r="X68" i="143" s="1"/>
  <c r="AA68" i="143" s="1"/>
  <c r="AD68" i="143" s="1"/>
  <c r="AG68" i="143" s="1"/>
  <c r="AJ68" i="143" s="1"/>
  <c r="AM68" i="143" s="1"/>
  <c r="AP68" i="143" s="1"/>
  <c r="AS68" i="143" s="1"/>
  <c r="AV68" i="143" s="1"/>
  <c r="AY68" i="143" s="1"/>
  <c r="BB68" i="143" s="1"/>
  <c r="BE68" i="143" s="1"/>
  <c r="BH68" i="143" s="1"/>
  <c r="BK68" i="143" s="1"/>
  <c r="BN68" i="143" s="1"/>
  <c r="BQ68" i="143" s="1"/>
  <c r="BT68" i="143" s="1"/>
  <c r="BW68" i="143" s="1"/>
  <c r="BZ68" i="143" s="1"/>
  <c r="CC68" i="143" s="1"/>
  <c r="CF68" i="143" s="1"/>
  <c r="CI68" i="143" s="1"/>
  <c r="CL68" i="143" s="1"/>
  <c r="CO68" i="143" s="1"/>
  <c r="CR68" i="143" s="1"/>
  <c r="CU68" i="143" s="1"/>
  <c r="CW67" i="143"/>
  <c r="CV67" i="143"/>
  <c r="I67" i="143"/>
  <c r="L67" i="143" s="1"/>
  <c r="O67" i="143" s="1"/>
  <c r="R67" i="143" s="1"/>
  <c r="U67" i="143" s="1"/>
  <c r="X67" i="143" s="1"/>
  <c r="AA67" i="143" s="1"/>
  <c r="AD67" i="143" s="1"/>
  <c r="AG67" i="143" s="1"/>
  <c r="AJ67" i="143" s="1"/>
  <c r="AM67" i="143" s="1"/>
  <c r="AP67" i="143" s="1"/>
  <c r="AS67" i="143" s="1"/>
  <c r="AV67" i="143" s="1"/>
  <c r="AY67" i="143" s="1"/>
  <c r="BB67" i="143" s="1"/>
  <c r="BE67" i="143" s="1"/>
  <c r="BH67" i="143" s="1"/>
  <c r="BK67" i="143" s="1"/>
  <c r="BN67" i="143" s="1"/>
  <c r="BQ67" i="143" s="1"/>
  <c r="BT67" i="143" s="1"/>
  <c r="BW67" i="143" s="1"/>
  <c r="BZ67" i="143" s="1"/>
  <c r="CC67" i="143" s="1"/>
  <c r="CF67" i="143" s="1"/>
  <c r="CI67" i="143" s="1"/>
  <c r="CL67" i="143" s="1"/>
  <c r="CO67" i="143" s="1"/>
  <c r="CR67" i="143" s="1"/>
  <c r="CU67" i="143" s="1"/>
  <c r="CW66" i="143"/>
  <c r="CV66" i="143"/>
  <c r="I66" i="143"/>
  <c r="L66" i="143" s="1"/>
  <c r="O66" i="143" s="1"/>
  <c r="R66" i="143" s="1"/>
  <c r="U66" i="143" s="1"/>
  <c r="X66" i="143" s="1"/>
  <c r="AA66" i="143" s="1"/>
  <c r="AD66" i="143" s="1"/>
  <c r="AG66" i="143" s="1"/>
  <c r="AJ66" i="143" s="1"/>
  <c r="AM66" i="143" s="1"/>
  <c r="AP66" i="143" s="1"/>
  <c r="AS66" i="143" s="1"/>
  <c r="AV66" i="143" s="1"/>
  <c r="AY66" i="143" s="1"/>
  <c r="BB66" i="143" s="1"/>
  <c r="BE66" i="143" s="1"/>
  <c r="BH66" i="143" s="1"/>
  <c r="BK66" i="143" s="1"/>
  <c r="BN66" i="143" s="1"/>
  <c r="BQ66" i="143" s="1"/>
  <c r="BT66" i="143" s="1"/>
  <c r="BW66" i="143" s="1"/>
  <c r="BZ66" i="143" s="1"/>
  <c r="CC66" i="143" s="1"/>
  <c r="CF66" i="143" s="1"/>
  <c r="CI66" i="143" s="1"/>
  <c r="CL66" i="143" s="1"/>
  <c r="CO66" i="143" s="1"/>
  <c r="CR66" i="143" s="1"/>
  <c r="CU66" i="143" s="1"/>
  <c r="CW65" i="143"/>
  <c r="CV65" i="143"/>
  <c r="I65" i="143"/>
  <c r="L65" i="143" s="1"/>
  <c r="O65" i="143" s="1"/>
  <c r="R65" i="143" s="1"/>
  <c r="U65" i="143" s="1"/>
  <c r="X65" i="143" s="1"/>
  <c r="AA65" i="143" s="1"/>
  <c r="AD65" i="143" s="1"/>
  <c r="AG65" i="143" s="1"/>
  <c r="AJ65" i="143" s="1"/>
  <c r="AM65" i="143" s="1"/>
  <c r="AP65" i="143" s="1"/>
  <c r="AS65" i="143" s="1"/>
  <c r="AV65" i="143" s="1"/>
  <c r="AY65" i="143" s="1"/>
  <c r="BB65" i="143" s="1"/>
  <c r="BE65" i="143" s="1"/>
  <c r="BH65" i="143" s="1"/>
  <c r="BK65" i="143" s="1"/>
  <c r="BN65" i="143" s="1"/>
  <c r="BQ65" i="143" s="1"/>
  <c r="BT65" i="143" s="1"/>
  <c r="BW65" i="143" s="1"/>
  <c r="BZ65" i="143" s="1"/>
  <c r="CC65" i="143" s="1"/>
  <c r="CF65" i="143" s="1"/>
  <c r="CI65" i="143" s="1"/>
  <c r="CL65" i="143" s="1"/>
  <c r="CO65" i="143" s="1"/>
  <c r="CR65" i="143" s="1"/>
  <c r="CU65" i="143" s="1"/>
  <c r="CW64" i="143"/>
  <c r="CV64" i="143"/>
  <c r="I64" i="143"/>
  <c r="L64" i="143" s="1"/>
  <c r="O64" i="143" s="1"/>
  <c r="R64" i="143" s="1"/>
  <c r="U64" i="143" s="1"/>
  <c r="X64" i="143" s="1"/>
  <c r="AA64" i="143" s="1"/>
  <c r="AD64" i="143" s="1"/>
  <c r="AG64" i="143" s="1"/>
  <c r="AJ64" i="143" s="1"/>
  <c r="AM64" i="143" s="1"/>
  <c r="AP64" i="143" s="1"/>
  <c r="AS64" i="143" s="1"/>
  <c r="AV64" i="143" s="1"/>
  <c r="AY64" i="143" s="1"/>
  <c r="BB64" i="143" s="1"/>
  <c r="BE64" i="143" s="1"/>
  <c r="BH64" i="143" s="1"/>
  <c r="BK64" i="143" s="1"/>
  <c r="BN64" i="143" s="1"/>
  <c r="BQ64" i="143" s="1"/>
  <c r="BT64" i="143" s="1"/>
  <c r="BW64" i="143" s="1"/>
  <c r="BZ64" i="143" s="1"/>
  <c r="CC64" i="143" s="1"/>
  <c r="CF64" i="143" s="1"/>
  <c r="CI64" i="143" s="1"/>
  <c r="CL64" i="143" s="1"/>
  <c r="CO64" i="143" s="1"/>
  <c r="CR64" i="143" s="1"/>
  <c r="CU64" i="143" s="1"/>
  <c r="CW62" i="143"/>
  <c r="CV62" i="143"/>
  <c r="I62" i="143"/>
  <c r="L62" i="143" s="1"/>
  <c r="O62" i="143" s="1"/>
  <c r="R62" i="143" s="1"/>
  <c r="U62" i="143" s="1"/>
  <c r="X62" i="143" s="1"/>
  <c r="AA62" i="143" s="1"/>
  <c r="AD62" i="143" s="1"/>
  <c r="AG62" i="143" s="1"/>
  <c r="AJ62" i="143" s="1"/>
  <c r="AM62" i="143" s="1"/>
  <c r="AP62" i="143" s="1"/>
  <c r="AS62" i="143" s="1"/>
  <c r="AV62" i="143" s="1"/>
  <c r="AY62" i="143" s="1"/>
  <c r="BB62" i="143" s="1"/>
  <c r="BE62" i="143" s="1"/>
  <c r="BH62" i="143" s="1"/>
  <c r="BK62" i="143" s="1"/>
  <c r="BN62" i="143" s="1"/>
  <c r="BQ62" i="143" s="1"/>
  <c r="BT62" i="143" s="1"/>
  <c r="BW62" i="143" s="1"/>
  <c r="BZ62" i="143" s="1"/>
  <c r="CC62" i="143" s="1"/>
  <c r="CF62" i="143" s="1"/>
  <c r="CI62" i="143" s="1"/>
  <c r="CL62" i="143" s="1"/>
  <c r="CO62" i="143" s="1"/>
  <c r="CR62" i="143" s="1"/>
  <c r="CU62" i="143" s="1"/>
  <c r="CW61" i="143"/>
  <c r="CV61" i="143"/>
  <c r="I61" i="143"/>
  <c r="L61" i="143" s="1"/>
  <c r="O61" i="143" s="1"/>
  <c r="R61" i="143" s="1"/>
  <c r="U61" i="143" s="1"/>
  <c r="X61" i="143" s="1"/>
  <c r="AA61" i="143" s="1"/>
  <c r="AD61" i="143" s="1"/>
  <c r="AG61" i="143" s="1"/>
  <c r="AJ61" i="143" s="1"/>
  <c r="AM61" i="143" s="1"/>
  <c r="AP61" i="143" s="1"/>
  <c r="AS61" i="143" s="1"/>
  <c r="AV61" i="143" s="1"/>
  <c r="AY61" i="143" s="1"/>
  <c r="BB61" i="143" s="1"/>
  <c r="BE61" i="143" s="1"/>
  <c r="BH61" i="143" s="1"/>
  <c r="BK61" i="143" s="1"/>
  <c r="BN61" i="143" s="1"/>
  <c r="BQ61" i="143" s="1"/>
  <c r="BT61" i="143" s="1"/>
  <c r="BW61" i="143" s="1"/>
  <c r="BZ61" i="143" s="1"/>
  <c r="CC61" i="143" s="1"/>
  <c r="CF61" i="143" s="1"/>
  <c r="CI61" i="143" s="1"/>
  <c r="CL61" i="143" s="1"/>
  <c r="CO61" i="143" s="1"/>
  <c r="CR61" i="143" s="1"/>
  <c r="CU61" i="143" s="1"/>
  <c r="I60" i="143"/>
  <c r="CV59" i="143"/>
  <c r="CV58" i="143"/>
  <c r="I58" i="143"/>
  <c r="L58" i="143" s="1"/>
  <c r="O58" i="143" s="1"/>
  <c r="R58" i="143" s="1"/>
  <c r="U58" i="143" s="1"/>
  <c r="X58" i="143" s="1"/>
  <c r="AA58" i="143" s="1"/>
  <c r="AD58" i="143" s="1"/>
  <c r="AG58" i="143" s="1"/>
  <c r="AJ58" i="143" s="1"/>
  <c r="AM58" i="143" s="1"/>
  <c r="AP58" i="143" s="1"/>
  <c r="AS58" i="143" s="1"/>
  <c r="AV58" i="143" s="1"/>
  <c r="AY58" i="143" s="1"/>
  <c r="BB58" i="143" s="1"/>
  <c r="BE58" i="143" s="1"/>
  <c r="CW57" i="143"/>
  <c r="CV57" i="143"/>
  <c r="I57" i="143"/>
  <c r="L57" i="143" s="1"/>
  <c r="O57" i="143" s="1"/>
  <c r="R57" i="143" s="1"/>
  <c r="U57" i="143" s="1"/>
  <c r="X57" i="143" s="1"/>
  <c r="AA57" i="143" s="1"/>
  <c r="AD57" i="143" s="1"/>
  <c r="AG57" i="143" s="1"/>
  <c r="AJ57" i="143" s="1"/>
  <c r="AM57" i="143" s="1"/>
  <c r="AP57" i="143" s="1"/>
  <c r="AS57" i="143" s="1"/>
  <c r="AV57" i="143" s="1"/>
  <c r="AY57" i="143" s="1"/>
  <c r="BB57" i="143" s="1"/>
  <c r="BE57" i="143" s="1"/>
  <c r="BH57" i="143" s="1"/>
  <c r="BK57" i="143" s="1"/>
  <c r="BN57" i="143" s="1"/>
  <c r="BQ57" i="143" s="1"/>
  <c r="BT57" i="143" s="1"/>
  <c r="BW57" i="143" s="1"/>
  <c r="BZ57" i="143" s="1"/>
  <c r="CC57" i="143" s="1"/>
  <c r="CF57" i="143" s="1"/>
  <c r="CI57" i="143" s="1"/>
  <c r="CL57" i="143" s="1"/>
  <c r="CO57" i="143" s="1"/>
  <c r="CR57" i="143" s="1"/>
  <c r="CU57" i="143" s="1"/>
  <c r="CW56" i="143"/>
  <c r="CV56" i="143"/>
  <c r="I56" i="143"/>
  <c r="L56" i="143" s="1"/>
  <c r="O56" i="143" s="1"/>
  <c r="R56" i="143" s="1"/>
  <c r="U56" i="143" s="1"/>
  <c r="X56" i="143" s="1"/>
  <c r="AA56" i="143" s="1"/>
  <c r="AD56" i="143" s="1"/>
  <c r="AG56" i="143" s="1"/>
  <c r="AJ56" i="143" s="1"/>
  <c r="AM56" i="143" s="1"/>
  <c r="AP56" i="143" s="1"/>
  <c r="AS56" i="143" s="1"/>
  <c r="AV56" i="143" s="1"/>
  <c r="AY56" i="143" s="1"/>
  <c r="BB56" i="143" s="1"/>
  <c r="BE56" i="143" s="1"/>
  <c r="BH56" i="143" s="1"/>
  <c r="BK56" i="143" s="1"/>
  <c r="BN56" i="143" s="1"/>
  <c r="BQ56" i="143" s="1"/>
  <c r="BT56" i="143" s="1"/>
  <c r="BW56" i="143" s="1"/>
  <c r="BZ56" i="143" s="1"/>
  <c r="CC56" i="143" s="1"/>
  <c r="CF56" i="143" s="1"/>
  <c r="CI56" i="143" s="1"/>
  <c r="CL56" i="143" s="1"/>
  <c r="CO56" i="143" s="1"/>
  <c r="CR56" i="143" s="1"/>
  <c r="CU56" i="143" s="1"/>
  <c r="CW55" i="143"/>
  <c r="CV55" i="143"/>
  <c r="I55" i="143"/>
  <c r="L55" i="143" s="1"/>
  <c r="O55" i="143" s="1"/>
  <c r="R55" i="143" s="1"/>
  <c r="U55" i="143" s="1"/>
  <c r="X55" i="143" s="1"/>
  <c r="AA55" i="143" s="1"/>
  <c r="AD55" i="143" s="1"/>
  <c r="AG55" i="143" s="1"/>
  <c r="AJ55" i="143" s="1"/>
  <c r="AM55" i="143" s="1"/>
  <c r="AP55" i="143" s="1"/>
  <c r="AS55" i="143" s="1"/>
  <c r="AV55" i="143" s="1"/>
  <c r="AY55" i="143" s="1"/>
  <c r="BB55" i="143" s="1"/>
  <c r="BE55" i="143" s="1"/>
  <c r="BH55" i="143" s="1"/>
  <c r="BK55" i="143" s="1"/>
  <c r="BN55" i="143" s="1"/>
  <c r="BQ55" i="143" s="1"/>
  <c r="BT55" i="143" s="1"/>
  <c r="BW55" i="143" s="1"/>
  <c r="BZ55" i="143" s="1"/>
  <c r="CC55" i="143" s="1"/>
  <c r="CF55" i="143" s="1"/>
  <c r="CI55" i="143" s="1"/>
  <c r="CL55" i="143" s="1"/>
  <c r="CO55" i="143" s="1"/>
  <c r="CR55" i="143" s="1"/>
  <c r="CU55" i="143" s="1"/>
  <c r="CW54" i="143"/>
  <c r="CV54" i="143"/>
  <c r="I54" i="143"/>
  <c r="L54" i="143" s="1"/>
  <c r="O54" i="143" s="1"/>
  <c r="R54" i="143" s="1"/>
  <c r="U54" i="143" s="1"/>
  <c r="X54" i="143" s="1"/>
  <c r="AA54" i="143" s="1"/>
  <c r="AD54" i="143" s="1"/>
  <c r="AG54" i="143" s="1"/>
  <c r="AJ54" i="143" s="1"/>
  <c r="AM54" i="143" s="1"/>
  <c r="AP54" i="143" s="1"/>
  <c r="AS54" i="143" s="1"/>
  <c r="AV54" i="143" s="1"/>
  <c r="AY54" i="143" s="1"/>
  <c r="BB54" i="143" s="1"/>
  <c r="BE54" i="143" s="1"/>
  <c r="BH54" i="143" s="1"/>
  <c r="BK54" i="143" s="1"/>
  <c r="BN54" i="143" s="1"/>
  <c r="BQ54" i="143" s="1"/>
  <c r="BT54" i="143" s="1"/>
  <c r="BW54" i="143" s="1"/>
  <c r="BZ54" i="143" s="1"/>
  <c r="CC54" i="143" s="1"/>
  <c r="CF54" i="143" s="1"/>
  <c r="CI54" i="143" s="1"/>
  <c r="CL54" i="143" s="1"/>
  <c r="CO54" i="143" s="1"/>
  <c r="CR54" i="143" s="1"/>
  <c r="CU54" i="143" s="1"/>
  <c r="CV53" i="143"/>
  <c r="CW53" i="143"/>
  <c r="I53" i="143"/>
  <c r="L53" i="143" s="1"/>
  <c r="O53" i="143" s="1"/>
  <c r="R53" i="143" s="1"/>
  <c r="U53" i="143" s="1"/>
  <c r="X53" i="143" s="1"/>
  <c r="AA53" i="143" s="1"/>
  <c r="AD53" i="143" s="1"/>
  <c r="AG53" i="143" s="1"/>
  <c r="AJ53" i="143" s="1"/>
  <c r="AM53" i="143" s="1"/>
  <c r="AP53" i="143" s="1"/>
  <c r="AS53" i="143" s="1"/>
  <c r="AV53" i="143" s="1"/>
  <c r="AY53" i="143" s="1"/>
  <c r="BB53" i="143" s="1"/>
  <c r="BE53" i="143" s="1"/>
  <c r="BH53" i="143" s="1"/>
  <c r="BK53" i="143" s="1"/>
  <c r="BN53" i="143" s="1"/>
  <c r="BQ53" i="143" s="1"/>
  <c r="BT53" i="143" s="1"/>
  <c r="BW53" i="143" s="1"/>
  <c r="BZ53" i="143" s="1"/>
  <c r="CC53" i="143" s="1"/>
  <c r="CF53" i="143" s="1"/>
  <c r="CI53" i="143" s="1"/>
  <c r="CL53" i="143" s="1"/>
  <c r="CO53" i="143" s="1"/>
  <c r="CR53" i="143" s="1"/>
  <c r="CU53" i="143" s="1"/>
  <c r="CW52" i="143"/>
  <c r="CV52" i="143"/>
  <c r="I52" i="143"/>
  <c r="L52" i="143" s="1"/>
  <c r="O52" i="143" s="1"/>
  <c r="R52" i="143" s="1"/>
  <c r="U52" i="143" s="1"/>
  <c r="X52" i="143" s="1"/>
  <c r="AA52" i="143" s="1"/>
  <c r="AD52" i="143" s="1"/>
  <c r="AG52" i="143" s="1"/>
  <c r="AJ52" i="143" s="1"/>
  <c r="AM52" i="143" s="1"/>
  <c r="AP52" i="143" s="1"/>
  <c r="AS52" i="143" s="1"/>
  <c r="AV52" i="143" s="1"/>
  <c r="AY52" i="143" s="1"/>
  <c r="BB52" i="143" s="1"/>
  <c r="BE52" i="143" s="1"/>
  <c r="BH52" i="143" s="1"/>
  <c r="BK52" i="143" s="1"/>
  <c r="BN52" i="143" s="1"/>
  <c r="BQ52" i="143" s="1"/>
  <c r="BT52" i="143" s="1"/>
  <c r="BW52" i="143" s="1"/>
  <c r="BZ52" i="143" s="1"/>
  <c r="CC52" i="143" s="1"/>
  <c r="CF52" i="143" s="1"/>
  <c r="CI52" i="143" s="1"/>
  <c r="CL52" i="143" s="1"/>
  <c r="CO52" i="143" s="1"/>
  <c r="CR52" i="143" s="1"/>
  <c r="CU52" i="143" s="1"/>
  <c r="CW51" i="143"/>
  <c r="CV51" i="143"/>
  <c r="I51" i="143"/>
  <c r="L51" i="143" s="1"/>
  <c r="O51" i="143" s="1"/>
  <c r="R51" i="143" s="1"/>
  <c r="U51" i="143" s="1"/>
  <c r="X51" i="143" s="1"/>
  <c r="AA51" i="143" s="1"/>
  <c r="AD51" i="143" s="1"/>
  <c r="AG51" i="143" s="1"/>
  <c r="AJ51" i="143" s="1"/>
  <c r="AM51" i="143" s="1"/>
  <c r="AP51" i="143" s="1"/>
  <c r="AS51" i="143" s="1"/>
  <c r="AV51" i="143" s="1"/>
  <c r="AY51" i="143" s="1"/>
  <c r="BB51" i="143" s="1"/>
  <c r="BE51" i="143" s="1"/>
  <c r="BH51" i="143" s="1"/>
  <c r="BK51" i="143" s="1"/>
  <c r="BN51" i="143" s="1"/>
  <c r="BQ51" i="143" s="1"/>
  <c r="BT51" i="143" s="1"/>
  <c r="BW51" i="143" s="1"/>
  <c r="BZ51" i="143" s="1"/>
  <c r="CC51" i="143" s="1"/>
  <c r="CF51" i="143" s="1"/>
  <c r="CI51" i="143" s="1"/>
  <c r="CL51" i="143" s="1"/>
  <c r="CO51" i="143" s="1"/>
  <c r="CR51" i="143" s="1"/>
  <c r="CU51" i="143" s="1"/>
  <c r="CW50" i="143"/>
  <c r="CV50" i="143"/>
  <c r="I50" i="143"/>
  <c r="L50" i="143" s="1"/>
  <c r="O50" i="143" s="1"/>
  <c r="R50" i="143" s="1"/>
  <c r="U50" i="143" s="1"/>
  <c r="X50" i="143" s="1"/>
  <c r="AA50" i="143" s="1"/>
  <c r="AD50" i="143" s="1"/>
  <c r="AG50" i="143" s="1"/>
  <c r="AJ50" i="143" s="1"/>
  <c r="AM50" i="143" s="1"/>
  <c r="AP50" i="143" s="1"/>
  <c r="AS50" i="143" s="1"/>
  <c r="AV50" i="143" s="1"/>
  <c r="AY50" i="143" s="1"/>
  <c r="BB50" i="143" s="1"/>
  <c r="BE50" i="143" s="1"/>
  <c r="BH50" i="143" s="1"/>
  <c r="BK50" i="143" s="1"/>
  <c r="BN50" i="143" s="1"/>
  <c r="BQ50" i="143" s="1"/>
  <c r="BT50" i="143" s="1"/>
  <c r="BW50" i="143" s="1"/>
  <c r="BZ50" i="143" s="1"/>
  <c r="CC50" i="143" s="1"/>
  <c r="CF50" i="143" s="1"/>
  <c r="CI50" i="143" s="1"/>
  <c r="CL50" i="143" s="1"/>
  <c r="CO50" i="143" s="1"/>
  <c r="CR50" i="143" s="1"/>
  <c r="CU50" i="143" s="1"/>
  <c r="CW49" i="143"/>
  <c r="CV49" i="143"/>
  <c r="I49" i="143"/>
  <c r="L49" i="143" s="1"/>
  <c r="O49" i="143" s="1"/>
  <c r="R49" i="143" s="1"/>
  <c r="U49" i="143" s="1"/>
  <c r="X49" i="143" s="1"/>
  <c r="AA49" i="143" s="1"/>
  <c r="AD49" i="143" s="1"/>
  <c r="AG49" i="143" s="1"/>
  <c r="AJ49" i="143" s="1"/>
  <c r="AM49" i="143" s="1"/>
  <c r="AP49" i="143" s="1"/>
  <c r="AS49" i="143" s="1"/>
  <c r="AV49" i="143" s="1"/>
  <c r="AY49" i="143" s="1"/>
  <c r="BB49" i="143" s="1"/>
  <c r="BE49" i="143" s="1"/>
  <c r="BH49" i="143" s="1"/>
  <c r="BK49" i="143" s="1"/>
  <c r="BN49" i="143" s="1"/>
  <c r="BQ49" i="143" s="1"/>
  <c r="BT49" i="143" s="1"/>
  <c r="BW49" i="143" s="1"/>
  <c r="BZ49" i="143" s="1"/>
  <c r="CC49" i="143" s="1"/>
  <c r="CF49" i="143" s="1"/>
  <c r="CI49" i="143" s="1"/>
  <c r="CL49" i="143" s="1"/>
  <c r="CO49" i="143" s="1"/>
  <c r="CR49" i="143" s="1"/>
  <c r="CU49" i="143" s="1"/>
  <c r="CX49" i="143" s="1"/>
  <c r="CZ49" i="143" s="1"/>
  <c r="CV48" i="143"/>
  <c r="CV47" i="143"/>
  <c r="I47" i="143"/>
  <c r="L47" i="143" s="1"/>
  <c r="O47" i="143" s="1"/>
  <c r="R47" i="143" s="1"/>
  <c r="U47" i="143" s="1"/>
  <c r="X47" i="143" s="1"/>
  <c r="AA47" i="143" s="1"/>
  <c r="AD47" i="143" s="1"/>
  <c r="AG47" i="143" s="1"/>
  <c r="AJ47" i="143" s="1"/>
  <c r="AM47" i="143" s="1"/>
  <c r="AP47" i="143" s="1"/>
  <c r="AS47" i="143" s="1"/>
  <c r="AV47" i="143" s="1"/>
  <c r="AY47" i="143" s="1"/>
  <c r="BB47" i="143" s="1"/>
  <c r="BE47" i="143" s="1"/>
  <c r="BH47" i="143" s="1"/>
  <c r="BK47" i="143" s="1"/>
  <c r="BN47" i="143" s="1"/>
  <c r="BQ47" i="143" s="1"/>
  <c r="BT47" i="143" s="1"/>
  <c r="BW47" i="143" s="1"/>
  <c r="BZ47" i="143" s="1"/>
  <c r="CC47" i="143" s="1"/>
  <c r="CF47" i="143" s="1"/>
  <c r="CI47" i="143" s="1"/>
  <c r="CL47" i="143" s="1"/>
  <c r="CO47" i="143" s="1"/>
  <c r="CR47" i="143" s="1"/>
  <c r="CU47" i="143" s="1"/>
  <c r="CV46" i="143"/>
  <c r="CW46" i="143"/>
  <c r="I46" i="143"/>
  <c r="L46" i="143" s="1"/>
  <c r="O46" i="143" s="1"/>
  <c r="R46" i="143" s="1"/>
  <c r="U46" i="143" s="1"/>
  <c r="X46" i="143" s="1"/>
  <c r="I45" i="143"/>
  <c r="CW44" i="143"/>
  <c r="CV44" i="143"/>
  <c r="I44" i="143"/>
  <c r="L44" i="143" s="1"/>
  <c r="O44" i="143" s="1"/>
  <c r="R44" i="143" s="1"/>
  <c r="U44" i="143" s="1"/>
  <c r="X44" i="143" s="1"/>
  <c r="AA44" i="143" s="1"/>
  <c r="AD44" i="143" s="1"/>
  <c r="AG44" i="143" s="1"/>
  <c r="AJ44" i="143" s="1"/>
  <c r="AM44" i="143" s="1"/>
  <c r="AP44" i="143" s="1"/>
  <c r="AS44" i="143" s="1"/>
  <c r="AV44" i="143" s="1"/>
  <c r="AY44" i="143" s="1"/>
  <c r="BB44" i="143" s="1"/>
  <c r="BE44" i="143" s="1"/>
  <c r="BH44" i="143" s="1"/>
  <c r="BK44" i="143" s="1"/>
  <c r="BN44" i="143" s="1"/>
  <c r="BQ44" i="143" s="1"/>
  <c r="BT44" i="143" s="1"/>
  <c r="BW44" i="143" s="1"/>
  <c r="BZ44" i="143" s="1"/>
  <c r="CC44" i="143" s="1"/>
  <c r="CF44" i="143" s="1"/>
  <c r="CI44" i="143" s="1"/>
  <c r="CL44" i="143" s="1"/>
  <c r="CO44" i="143" s="1"/>
  <c r="CR44" i="143" s="1"/>
  <c r="CU44" i="143" s="1"/>
  <c r="CV43" i="143"/>
  <c r="CW43" i="143"/>
  <c r="I43" i="143"/>
  <c r="L43" i="143" s="1"/>
  <c r="O43" i="143" s="1"/>
  <c r="R43" i="143" s="1"/>
  <c r="U43" i="143" s="1"/>
  <c r="CW42" i="143"/>
  <c r="CV42" i="143"/>
  <c r="I42" i="143"/>
  <c r="L42" i="143" s="1"/>
  <c r="O42" i="143" s="1"/>
  <c r="R42" i="143" s="1"/>
  <c r="U42" i="143" s="1"/>
  <c r="X42" i="143" s="1"/>
  <c r="AA42" i="143" s="1"/>
  <c r="AD42" i="143" s="1"/>
  <c r="AG42" i="143" s="1"/>
  <c r="AJ42" i="143" s="1"/>
  <c r="AM42" i="143" s="1"/>
  <c r="AP42" i="143" s="1"/>
  <c r="AS42" i="143" s="1"/>
  <c r="AV42" i="143" s="1"/>
  <c r="AY42" i="143" s="1"/>
  <c r="BB42" i="143" s="1"/>
  <c r="BE42" i="143" s="1"/>
  <c r="BH42" i="143" s="1"/>
  <c r="BK42" i="143" s="1"/>
  <c r="BN42" i="143" s="1"/>
  <c r="BQ42" i="143" s="1"/>
  <c r="BT42" i="143" s="1"/>
  <c r="BW42" i="143" s="1"/>
  <c r="BZ42" i="143" s="1"/>
  <c r="CC42" i="143" s="1"/>
  <c r="CF42" i="143" s="1"/>
  <c r="CI42" i="143" s="1"/>
  <c r="CL42" i="143" s="1"/>
  <c r="CO42" i="143" s="1"/>
  <c r="CR42" i="143" s="1"/>
  <c r="CU42" i="143" s="1"/>
  <c r="CW41" i="143"/>
  <c r="CV41" i="143"/>
  <c r="I41" i="143"/>
  <c r="L41" i="143" s="1"/>
  <c r="O41" i="143" s="1"/>
  <c r="R41" i="143" s="1"/>
  <c r="U41" i="143" s="1"/>
  <c r="X41" i="143" s="1"/>
  <c r="AA41" i="143" s="1"/>
  <c r="AD41" i="143" s="1"/>
  <c r="AG41" i="143" s="1"/>
  <c r="AJ41" i="143" s="1"/>
  <c r="AM41" i="143" s="1"/>
  <c r="AP41" i="143" s="1"/>
  <c r="AS41" i="143" s="1"/>
  <c r="AV41" i="143" s="1"/>
  <c r="AY41" i="143" s="1"/>
  <c r="BB41" i="143" s="1"/>
  <c r="BE41" i="143" s="1"/>
  <c r="BH41" i="143" s="1"/>
  <c r="BK41" i="143" s="1"/>
  <c r="BN41" i="143" s="1"/>
  <c r="BQ41" i="143" s="1"/>
  <c r="BT41" i="143" s="1"/>
  <c r="BW41" i="143" s="1"/>
  <c r="BZ41" i="143" s="1"/>
  <c r="CC41" i="143" s="1"/>
  <c r="CF41" i="143" s="1"/>
  <c r="CI41" i="143" s="1"/>
  <c r="CL41" i="143" s="1"/>
  <c r="CO41" i="143" s="1"/>
  <c r="CR41" i="143" s="1"/>
  <c r="CU41" i="143" s="1"/>
  <c r="CV40" i="143"/>
  <c r="I40" i="143"/>
  <c r="L40" i="143" s="1"/>
  <c r="CV39" i="143"/>
  <c r="CW38" i="143"/>
  <c r="CV38" i="143"/>
  <c r="I38" i="143"/>
  <c r="L38" i="143" s="1"/>
  <c r="O38" i="143" s="1"/>
  <c r="R38" i="143" s="1"/>
  <c r="U38" i="143" s="1"/>
  <c r="X38" i="143" s="1"/>
  <c r="AA38" i="143" s="1"/>
  <c r="AD38" i="143" s="1"/>
  <c r="AG38" i="143" s="1"/>
  <c r="AJ38" i="143" s="1"/>
  <c r="AM38" i="143" s="1"/>
  <c r="AP38" i="143" s="1"/>
  <c r="AS38" i="143" s="1"/>
  <c r="AV38" i="143" s="1"/>
  <c r="AY38" i="143" s="1"/>
  <c r="BB38" i="143" s="1"/>
  <c r="BE38" i="143" s="1"/>
  <c r="BH38" i="143" s="1"/>
  <c r="BK38" i="143" s="1"/>
  <c r="BN38" i="143" s="1"/>
  <c r="BQ38" i="143" s="1"/>
  <c r="BT38" i="143" s="1"/>
  <c r="BW38" i="143" s="1"/>
  <c r="BZ38" i="143" s="1"/>
  <c r="CC38" i="143" s="1"/>
  <c r="CF38" i="143" s="1"/>
  <c r="CI38" i="143" s="1"/>
  <c r="CL38" i="143" s="1"/>
  <c r="CO38" i="143" s="1"/>
  <c r="CR38" i="143" s="1"/>
  <c r="CU38" i="143" s="1"/>
  <c r="CW37" i="143"/>
  <c r="CV37" i="143"/>
  <c r="I37" i="143"/>
  <c r="L37" i="143" s="1"/>
  <c r="O37" i="143" s="1"/>
  <c r="R37" i="143" s="1"/>
  <c r="U37" i="143" s="1"/>
  <c r="X37" i="143" s="1"/>
  <c r="AA37" i="143" s="1"/>
  <c r="AD37" i="143" s="1"/>
  <c r="AG37" i="143" s="1"/>
  <c r="AJ37" i="143" s="1"/>
  <c r="AM37" i="143" s="1"/>
  <c r="AP37" i="143" s="1"/>
  <c r="AS37" i="143" s="1"/>
  <c r="AV37" i="143" s="1"/>
  <c r="AY37" i="143" s="1"/>
  <c r="BB37" i="143" s="1"/>
  <c r="BE37" i="143" s="1"/>
  <c r="BH37" i="143" s="1"/>
  <c r="BK37" i="143" s="1"/>
  <c r="BN37" i="143" s="1"/>
  <c r="BQ37" i="143" s="1"/>
  <c r="BT37" i="143" s="1"/>
  <c r="BW37" i="143" s="1"/>
  <c r="BZ37" i="143" s="1"/>
  <c r="CC37" i="143" s="1"/>
  <c r="CF37" i="143" s="1"/>
  <c r="CI37" i="143" s="1"/>
  <c r="CL37" i="143" s="1"/>
  <c r="CO37" i="143" s="1"/>
  <c r="CR37" i="143" s="1"/>
  <c r="CU37" i="143" s="1"/>
  <c r="CW36" i="143"/>
  <c r="I36" i="143"/>
  <c r="CW35" i="143"/>
  <c r="CV35" i="143"/>
  <c r="I35" i="143"/>
  <c r="L35" i="143" s="1"/>
  <c r="O35" i="143" s="1"/>
  <c r="R35" i="143" s="1"/>
  <c r="U35" i="143" s="1"/>
  <c r="X35" i="143" s="1"/>
  <c r="AA35" i="143" s="1"/>
  <c r="AD35" i="143" s="1"/>
  <c r="AG35" i="143" s="1"/>
  <c r="AJ35" i="143" s="1"/>
  <c r="AM35" i="143" s="1"/>
  <c r="AP35" i="143" s="1"/>
  <c r="AS35" i="143" s="1"/>
  <c r="AV35" i="143" s="1"/>
  <c r="AY35" i="143" s="1"/>
  <c r="BB35" i="143" s="1"/>
  <c r="BE35" i="143" s="1"/>
  <c r="BH35" i="143" s="1"/>
  <c r="BK35" i="143" s="1"/>
  <c r="BN35" i="143" s="1"/>
  <c r="BQ35" i="143" s="1"/>
  <c r="BT35" i="143" s="1"/>
  <c r="BW35" i="143" s="1"/>
  <c r="BZ35" i="143" s="1"/>
  <c r="CC35" i="143" s="1"/>
  <c r="CF35" i="143" s="1"/>
  <c r="CI35" i="143" s="1"/>
  <c r="CL35" i="143" s="1"/>
  <c r="CO35" i="143" s="1"/>
  <c r="CR35" i="143" s="1"/>
  <c r="CU35" i="143" s="1"/>
  <c r="CW34" i="143"/>
  <c r="CV34" i="143"/>
  <c r="I34" i="143"/>
  <c r="L34" i="143" s="1"/>
  <c r="O34" i="143" s="1"/>
  <c r="R34" i="143" s="1"/>
  <c r="U34" i="143" s="1"/>
  <c r="X34" i="143" s="1"/>
  <c r="AA34" i="143" s="1"/>
  <c r="AD34" i="143" s="1"/>
  <c r="AG34" i="143" s="1"/>
  <c r="AJ34" i="143" s="1"/>
  <c r="AM34" i="143" s="1"/>
  <c r="AP34" i="143" s="1"/>
  <c r="AS34" i="143" s="1"/>
  <c r="AV34" i="143" s="1"/>
  <c r="AY34" i="143" s="1"/>
  <c r="BB34" i="143" s="1"/>
  <c r="BE34" i="143" s="1"/>
  <c r="BH34" i="143" s="1"/>
  <c r="BK34" i="143" s="1"/>
  <c r="BN34" i="143" s="1"/>
  <c r="BQ34" i="143" s="1"/>
  <c r="BT34" i="143" s="1"/>
  <c r="BW34" i="143" s="1"/>
  <c r="BZ34" i="143" s="1"/>
  <c r="CC34" i="143" s="1"/>
  <c r="CF34" i="143" s="1"/>
  <c r="CI34" i="143" s="1"/>
  <c r="CL34" i="143" s="1"/>
  <c r="CO34" i="143" s="1"/>
  <c r="CR34" i="143" s="1"/>
  <c r="CU34" i="143" s="1"/>
  <c r="CW33" i="143"/>
  <c r="CV33" i="143"/>
  <c r="I33" i="143"/>
  <c r="L33" i="143" s="1"/>
  <c r="O33" i="143" s="1"/>
  <c r="R33" i="143" s="1"/>
  <c r="U33" i="143" s="1"/>
  <c r="X33" i="143" s="1"/>
  <c r="AA33" i="143" s="1"/>
  <c r="AD33" i="143" s="1"/>
  <c r="AG33" i="143" s="1"/>
  <c r="AJ33" i="143" s="1"/>
  <c r="AM33" i="143" s="1"/>
  <c r="AP33" i="143" s="1"/>
  <c r="AS33" i="143" s="1"/>
  <c r="AV33" i="143" s="1"/>
  <c r="AY33" i="143" s="1"/>
  <c r="BB33" i="143" s="1"/>
  <c r="BE33" i="143" s="1"/>
  <c r="BH33" i="143" s="1"/>
  <c r="BK33" i="143" s="1"/>
  <c r="BN33" i="143" s="1"/>
  <c r="BQ33" i="143" s="1"/>
  <c r="BT33" i="143" s="1"/>
  <c r="BW33" i="143" s="1"/>
  <c r="BZ33" i="143" s="1"/>
  <c r="CC33" i="143" s="1"/>
  <c r="CF33" i="143" s="1"/>
  <c r="CI33" i="143" s="1"/>
  <c r="CL33" i="143" s="1"/>
  <c r="CO33" i="143" s="1"/>
  <c r="CR33" i="143" s="1"/>
  <c r="CU33" i="143" s="1"/>
  <c r="CW32" i="143"/>
  <c r="CV32" i="143"/>
  <c r="I32" i="143"/>
  <c r="L32" i="143" s="1"/>
  <c r="O32" i="143" s="1"/>
  <c r="R32" i="143" s="1"/>
  <c r="U32" i="143" s="1"/>
  <c r="X32" i="143" s="1"/>
  <c r="AA32" i="143" s="1"/>
  <c r="AD32" i="143" s="1"/>
  <c r="AG32" i="143" s="1"/>
  <c r="AJ32" i="143" s="1"/>
  <c r="AM32" i="143" s="1"/>
  <c r="AP32" i="143" s="1"/>
  <c r="AS32" i="143" s="1"/>
  <c r="AV32" i="143" s="1"/>
  <c r="AY32" i="143" s="1"/>
  <c r="BB32" i="143" s="1"/>
  <c r="BE32" i="143" s="1"/>
  <c r="BH32" i="143" s="1"/>
  <c r="BK32" i="143" s="1"/>
  <c r="BN32" i="143" s="1"/>
  <c r="BQ32" i="143" s="1"/>
  <c r="BT32" i="143" s="1"/>
  <c r="BW32" i="143" s="1"/>
  <c r="BZ32" i="143" s="1"/>
  <c r="CC32" i="143" s="1"/>
  <c r="CF32" i="143" s="1"/>
  <c r="CI32" i="143" s="1"/>
  <c r="CL32" i="143" s="1"/>
  <c r="CO32" i="143" s="1"/>
  <c r="CR32" i="143" s="1"/>
  <c r="CU32" i="143" s="1"/>
  <c r="CW31" i="143"/>
  <c r="CV31" i="143"/>
  <c r="I31" i="143"/>
  <c r="L31" i="143" s="1"/>
  <c r="O31" i="143" s="1"/>
  <c r="R31" i="143" s="1"/>
  <c r="U31" i="143" s="1"/>
  <c r="X31" i="143" s="1"/>
  <c r="AA31" i="143" s="1"/>
  <c r="AD31" i="143" s="1"/>
  <c r="AG31" i="143" s="1"/>
  <c r="AJ31" i="143" s="1"/>
  <c r="AM31" i="143" s="1"/>
  <c r="AP31" i="143" s="1"/>
  <c r="AS31" i="143" s="1"/>
  <c r="AV31" i="143" s="1"/>
  <c r="AY31" i="143" s="1"/>
  <c r="BB31" i="143" s="1"/>
  <c r="BE31" i="143" s="1"/>
  <c r="BH31" i="143" s="1"/>
  <c r="BK31" i="143" s="1"/>
  <c r="BN31" i="143" s="1"/>
  <c r="BQ31" i="143" s="1"/>
  <c r="BT31" i="143" s="1"/>
  <c r="BW31" i="143" s="1"/>
  <c r="BZ31" i="143" s="1"/>
  <c r="CC31" i="143" s="1"/>
  <c r="CF31" i="143" s="1"/>
  <c r="CI31" i="143" s="1"/>
  <c r="CL31" i="143" s="1"/>
  <c r="CO31" i="143" s="1"/>
  <c r="CR31" i="143" s="1"/>
  <c r="CU31" i="143" s="1"/>
  <c r="CW30" i="143"/>
  <c r="CV30" i="143"/>
  <c r="I30" i="143"/>
  <c r="L30" i="143" s="1"/>
  <c r="O30" i="143" s="1"/>
  <c r="R30" i="143" s="1"/>
  <c r="U30" i="143" s="1"/>
  <c r="X30" i="143" s="1"/>
  <c r="AA30" i="143" s="1"/>
  <c r="AD30" i="143" s="1"/>
  <c r="AG30" i="143" s="1"/>
  <c r="AJ30" i="143" s="1"/>
  <c r="AM30" i="143" s="1"/>
  <c r="AP30" i="143" s="1"/>
  <c r="AS30" i="143" s="1"/>
  <c r="AV30" i="143" s="1"/>
  <c r="AY30" i="143" s="1"/>
  <c r="BB30" i="143" s="1"/>
  <c r="BE30" i="143" s="1"/>
  <c r="BH30" i="143" s="1"/>
  <c r="BK30" i="143" s="1"/>
  <c r="BN30" i="143" s="1"/>
  <c r="BQ30" i="143" s="1"/>
  <c r="BT30" i="143" s="1"/>
  <c r="BW30" i="143" s="1"/>
  <c r="BZ30" i="143" s="1"/>
  <c r="CC30" i="143" s="1"/>
  <c r="CF30" i="143" s="1"/>
  <c r="CI30" i="143" s="1"/>
  <c r="CL30" i="143" s="1"/>
  <c r="CO30" i="143" s="1"/>
  <c r="CR30" i="143" s="1"/>
  <c r="CU30" i="143" s="1"/>
  <c r="CV29" i="143"/>
  <c r="I29" i="143"/>
  <c r="L29" i="143" s="1"/>
  <c r="O29" i="143" s="1"/>
  <c r="R29" i="143" s="1"/>
  <c r="U29" i="143" s="1"/>
  <c r="X29" i="143" s="1"/>
  <c r="AA29" i="143" s="1"/>
  <c r="AD29" i="143" s="1"/>
  <c r="AG29" i="143" s="1"/>
  <c r="AJ29" i="143" s="1"/>
  <c r="AM29" i="143" s="1"/>
  <c r="AP29" i="143" s="1"/>
  <c r="AS29" i="143" s="1"/>
  <c r="AV29" i="143" s="1"/>
  <c r="AY29" i="143" s="1"/>
  <c r="BB29" i="143" s="1"/>
  <c r="BE29" i="143" s="1"/>
  <c r="BH29" i="143" s="1"/>
  <c r="BK29" i="143" s="1"/>
  <c r="BN29" i="143" s="1"/>
  <c r="BQ29" i="143" s="1"/>
  <c r="BT29" i="143" s="1"/>
  <c r="BW29" i="143" s="1"/>
  <c r="BZ29" i="143" s="1"/>
  <c r="CC29" i="143" s="1"/>
  <c r="CF29" i="143" s="1"/>
  <c r="CI29" i="143" s="1"/>
  <c r="CL29" i="143" s="1"/>
  <c r="CO29" i="143" s="1"/>
  <c r="CR29" i="143" s="1"/>
  <c r="CU29" i="143" s="1"/>
  <c r="CV28" i="143"/>
  <c r="CW28" i="143"/>
  <c r="I28" i="143"/>
  <c r="L28" i="143" s="1"/>
  <c r="O28" i="143" s="1"/>
  <c r="R28" i="143" s="1"/>
  <c r="U28" i="143" s="1"/>
  <c r="X28" i="143" s="1"/>
  <c r="AA28" i="143" s="1"/>
  <c r="AD28" i="143" s="1"/>
  <c r="AG28" i="143" s="1"/>
  <c r="AJ28" i="143" s="1"/>
  <c r="AM28" i="143" s="1"/>
  <c r="AP28" i="143" s="1"/>
  <c r="AS28" i="143" s="1"/>
  <c r="AV28" i="143" s="1"/>
  <c r="AY28" i="143" s="1"/>
  <c r="BB28" i="143" s="1"/>
  <c r="BE28" i="143" s="1"/>
  <c r="BH28" i="143" s="1"/>
  <c r="BK28" i="143" s="1"/>
  <c r="BN28" i="143" s="1"/>
  <c r="BQ28" i="143" s="1"/>
  <c r="BT28" i="143" s="1"/>
  <c r="BW28" i="143" s="1"/>
  <c r="BZ28" i="143" s="1"/>
  <c r="CC28" i="143" s="1"/>
  <c r="CF28" i="143" s="1"/>
  <c r="CI28" i="143" s="1"/>
  <c r="CL28" i="143" s="1"/>
  <c r="CO28" i="143" s="1"/>
  <c r="CR28" i="143" s="1"/>
  <c r="CU28" i="143" s="1"/>
  <c r="CV27" i="143"/>
  <c r="I27" i="143"/>
  <c r="L27" i="143" s="1"/>
  <c r="O27" i="143" s="1"/>
  <c r="CW26" i="143"/>
  <c r="CV26" i="143"/>
  <c r="I26" i="143"/>
  <c r="L26" i="143" s="1"/>
  <c r="O26" i="143" s="1"/>
  <c r="R26" i="143" s="1"/>
  <c r="U26" i="143" s="1"/>
  <c r="X26" i="143" s="1"/>
  <c r="AA26" i="143" s="1"/>
  <c r="AD26" i="143" s="1"/>
  <c r="AG26" i="143" s="1"/>
  <c r="AJ26" i="143" s="1"/>
  <c r="AM26" i="143" s="1"/>
  <c r="AP26" i="143" s="1"/>
  <c r="AS26" i="143" s="1"/>
  <c r="AV26" i="143" s="1"/>
  <c r="AY26" i="143" s="1"/>
  <c r="BB26" i="143" s="1"/>
  <c r="BE26" i="143" s="1"/>
  <c r="BH26" i="143" s="1"/>
  <c r="BK26" i="143" s="1"/>
  <c r="BN26" i="143" s="1"/>
  <c r="BQ26" i="143" s="1"/>
  <c r="BT26" i="143" s="1"/>
  <c r="BW26" i="143" s="1"/>
  <c r="BZ26" i="143" s="1"/>
  <c r="CC26" i="143" s="1"/>
  <c r="CF26" i="143" s="1"/>
  <c r="CI26" i="143" s="1"/>
  <c r="CL26" i="143" s="1"/>
  <c r="CO26" i="143" s="1"/>
  <c r="CR26" i="143" s="1"/>
  <c r="CU26" i="143" s="1"/>
  <c r="CV25" i="143"/>
  <c r="I25" i="143"/>
  <c r="L25" i="143" s="1"/>
  <c r="O25" i="143" s="1"/>
  <c r="R25" i="143" s="1"/>
  <c r="U25" i="143" s="1"/>
  <c r="X25" i="143" s="1"/>
  <c r="AA25" i="143" s="1"/>
  <c r="AD25" i="143" s="1"/>
  <c r="AG25" i="143" s="1"/>
  <c r="AJ25" i="143" s="1"/>
  <c r="AM25" i="143" s="1"/>
  <c r="AP25" i="143" s="1"/>
  <c r="AS25" i="143" s="1"/>
  <c r="AV25" i="143" s="1"/>
  <c r="AY25" i="143" s="1"/>
  <c r="BB25" i="143" s="1"/>
  <c r="BE25" i="143" s="1"/>
  <c r="BH25" i="143" s="1"/>
  <c r="BK25" i="143" s="1"/>
  <c r="BN25" i="143" s="1"/>
  <c r="BQ25" i="143" s="1"/>
  <c r="BT25" i="143" s="1"/>
  <c r="BW25" i="143" s="1"/>
  <c r="BZ25" i="143" s="1"/>
  <c r="CC25" i="143" s="1"/>
  <c r="CF25" i="143" s="1"/>
  <c r="CI25" i="143" s="1"/>
  <c r="CL25" i="143" s="1"/>
  <c r="CO25" i="143" s="1"/>
  <c r="CR25" i="143" s="1"/>
  <c r="CU25" i="143" s="1"/>
  <c r="CV24" i="143"/>
  <c r="I24" i="143"/>
  <c r="L24" i="143" s="1"/>
  <c r="O24" i="143" s="1"/>
  <c r="R24" i="143" s="1"/>
  <c r="U24" i="143" s="1"/>
  <c r="X24" i="143" s="1"/>
  <c r="AA24" i="143" s="1"/>
  <c r="AD24" i="143" s="1"/>
  <c r="AG24" i="143" s="1"/>
  <c r="AJ24" i="143" s="1"/>
  <c r="AM24" i="143" s="1"/>
  <c r="AP24" i="143" s="1"/>
  <c r="AS24" i="143" s="1"/>
  <c r="AV24" i="143" s="1"/>
  <c r="AY24" i="143" s="1"/>
  <c r="BB24" i="143" s="1"/>
  <c r="BE24" i="143" s="1"/>
  <c r="BH24" i="143" s="1"/>
  <c r="BK24" i="143" s="1"/>
  <c r="BN24" i="143" s="1"/>
  <c r="BQ24" i="143" s="1"/>
  <c r="BT24" i="143" s="1"/>
  <c r="BW24" i="143" s="1"/>
  <c r="BZ24" i="143" s="1"/>
  <c r="CC24" i="143" s="1"/>
  <c r="CF24" i="143" s="1"/>
  <c r="CI24" i="143" s="1"/>
  <c r="CL24" i="143" s="1"/>
  <c r="CO24" i="143" s="1"/>
  <c r="CR24" i="143" s="1"/>
  <c r="CU24" i="143" s="1"/>
  <c r="CV23" i="143"/>
  <c r="I23" i="143"/>
  <c r="L23" i="143" s="1"/>
  <c r="O23" i="143" s="1"/>
  <c r="CW22" i="143"/>
  <c r="CV22" i="143"/>
  <c r="I22" i="143"/>
  <c r="L22" i="143" s="1"/>
  <c r="O22" i="143" s="1"/>
  <c r="R22" i="143" s="1"/>
  <c r="U22" i="143" s="1"/>
  <c r="X22" i="143" s="1"/>
  <c r="AA22" i="143" s="1"/>
  <c r="AD22" i="143" s="1"/>
  <c r="AG22" i="143" s="1"/>
  <c r="AJ22" i="143" s="1"/>
  <c r="AM22" i="143" s="1"/>
  <c r="AP22" i="143" s="1"/>
  <c r="AS22" i="143" s="1"/>
  <c r="AV22" i="143" s="1"/>
  <c r="AY22" i="143" s="1"/>
  <c r="BB22" i="143" s="1"/>
  <c r="BE22" i="143" s="1"/>
  <c r="BH22" i="143" s="1"/>
  <c r="BK22" i="143" s="1"/>
  <c r="BN22" i="143" s="1"/>
  <c r="BQ22" i="143" s="1"/>
  <c r="BT22" i="143" s="1"/>
  <c r="BW22" i="143" s="1"/>
  <c r="BZ22" i="143" s="1"/>
  <c r="CC22" i="143" s="1"/>
  <c r="CF22" i="143" s="1"/>
  <c r="CI22" i="143" s="1"/>
  <c r="CL22" i="143" s="1"/>
  <c r="CO22" i="143" s="1"/>
  <c r="CR22" i="143" s="1"/>
  <c r="CU22" i="143" s="1"/>
  <c r="CW21" i="143"/>
  <c r="CV21" i="143"/>
  <c r="I21" i="143"/>
  <c r="L21" i="143" s="1"/>
  <c r="O21" i="143" s="1"/>
  <c r="R21" i="143" s="1"/>
  <c r="U21" i="143" s="1"/>
  <c r="X21" i="143" s="1"/>
  <c r="AA21" i="143" s="1"/>
  <c r="AD21" i="143" s="1"/>
  <c r="AG21" i="143" s="1"/>
  <c r="AJ21" i="143" s="1"/>
  <c r="AM21" i="143" s="1"/>
  <c r="AP21" i="143" s="1"/>
  <c r="AS21" i="143" s="1"/>
  <c r="AV21" i="143" s="1"/>
  <c r="AY21" i="143" s="1"/>
  <c r="BB21" i="143" s="1"/>
  <c r="BE21" i="143" s="1"/>
  <c r="BH21" i="143" s="1"/>
  <c r="BK21" i="143" s="1"/>
  <c r="BN21" i="143" s="1"/>
  <c r="BQ21" i="143" s="1"/>
  <c r="BT21" i="143" s="1"/>
  <c r="BW21" i="143" s="1"/>
  <c r="BZ21" i="143" s="1"/>
  <c r="CC21" i="143" s="1"/>
  <c r="CF21" i="143" s="1"/>
  <c r="CI21" i="143" s="1"/>
  <c r="CL21" i="143" s="1"/>
  <c r="CO21" i="143" s="1"/>
  <c r="CR21" i="143" s="1"/>
  <c r="CU21" i="143" s="1"/>
  <c r="CW20" i="143"/>
  <c r="CV20" i="143"/>
  <c r="I20" i="143"/>
  <c r="L20" i="143" s="1"/>
  <c r="O20" i="143" s="1"/>
  <c r="R20" i="143" s="1"/>
  <c r="U20" i="143" s="1"/>
  <c r="X20" i="143" s="1"/>
  <c r="AA20" i="143" s="1"/>
  <c r="AD20" i="143" s="1"/>
  <c r="AG20" i="143" s="1"/>
  <c r="AJ20" i="143" s="1"/>
  <c r="AM20" i="143" s="1"/>
  <c r="AP20" i="143" s="1"/>
  <c r="AS20" i="143" s="1"/>
  <c r="AV20" i="143" s="1"/>
  <c r="AY20" i="143" s="1"/>
  <c r="BB20" i="143" s="1"/>
  <c r="BE20" i="143" s="1"/>
  <c r="BH20" i="143" s="1"/>
  <c r="BK20" i="143" s="1"/>
  <c r="BN20" i="143" s="1"/>
  <c r="BQ20" i="143" s="1"/>
  <c r="BT20" i="143" s="1"/>
  <c r="BW20" i="143" s="1"/>
  <c r="BZ20" i="143" s="1"/>
  <c r="CC20" i="143" s="1"/>
  <c r="CF20" i="143" s="1"/>
  <c r="CI20" i="143" s="1"/>
  <c r="CL20" i="143" s="1"/>
  <c r="CO20" i="143" s="1"/>
  <c r="CR20" i="143" s="1"/>
  <c r="CU20" i="143" s="1"/>
  <c r="CV19" i="143"/>
  <c r="I19" i="143"/>
  <c r="L19" i="143" s="1"/>
  <c r="O19" i="143" s="1"/>
  <c r="R19" i="143" s="1"/>
  <c r="U19" i="143" s="1"/>
  <c r="X19" i="143" s="1"/>
  <c r="AA19" i="143" s="1"/>
  <c r="AD19" i="143" s="1"/>
  <c r="AG19" i="143" s="1"/>
  <c r="AJ19" i="143" s="1"/>
  <c r="AM19" i="143" s="1"/>
  <c r="AP19" i="143" s="1"/>
  <c r="AS19" i="143" s="1"/>
  <c r="AV19" i="143" s="1"/>
  <c r="AY19" i="143" s="1"/>
  <c r="BB19" i="143" s="1"/>
  <c r="BE19" i="143" s="1"/>
  <c r="BH19" i="143" s="1"/>
  <c r="BK19" i="143" s="1"/>
  <c r="BN19" i="143" s="1"/>
  <c r="BQ19" i="143" s="1"/>
  <c r="BT19" i="143" s="1"/>
  <c r="BW19" i="143" s="1"/>
  <c r="BZ19" i="143" s="1"/>
  <c r="CC19" i="143" s="1"/>
  <c r="CF19" i="143" s="1"/>
  <c r="CI19" i="143" s="1"/>
  <c r="CL19" i="143" s="1"/>
  <c r="CO19" i="143" s="1"/>
  <c r="CR19" i="143" s="1"/>
  <c r="CU19" i="143" s="1"/>
  <c r="CV18" i="143"/>
  <c r="I18" i="143"/>
  <c r="L18" i="143" s="1"/>
  <c r="O18" i="143" s="1"/>
  <c r="R18" i="143" s="1"/>
  <c r="U18" i="143" s="1"/>
  <c r="X18" i="143" s="1"/>
  <c r="AA18" i="143" s="1"/>
  <c r="AD18" i="143" s="1"/>
  <c r="AG18" i="143" s="1"/>
  <c r="AJ18" i="143" s="1"/>
  <c r="AM18" i="143" s="1"/>
  <c r="AP18" i="143" s="1"/>
  <c r="AS18" i="143" s="1"/>
  <c r="AV18" i="143" s="1"/>
  <c r="AY18" i="143" s="1"/>
  <c r="BB18" i="143" s="1"/>
  <c r="BE18" i="143" s="1"/>
  <c r="BH18" i="143" s="1"/>
  <c r="BK18" i="143" s="1"/>
  <c r="BN18" i="143" s="1"/>
  <c r="BQ18" i="143" s="1"/>
  <c r="BT18" i="143" s="1"/>
  <c r="BW18" i="143" s="1"/>
  <c r="BZ18" i="143" s="1"/>
  <c r="CC18" i="143" s="1"/>
  <c r="CF18" i="143" s="1"/>
  <c r="CI18" i="143" s="1"/>
  <c r="CL18" i="143" s="1"/>
  <c r="CO18" i="143" s="1"/>
  <c r="CR18" i="143" s="1"/>
  <c r="CU18" i="143" s="1"/>
  <c r="CV15" i="143"/>
  <c r="CW15" i="143"/>
  <c r="I15" i="143"/>
  <c r="L15" i="143" s="1"/>
  <c r="O15" i="143" s="1"/>
  <c r="R15" i="143" s="1"/>
  <c r="U15" i="143" s="1"/>
  <c r="X15" i="143" s="1"/>
  <c r="AA15" i="143" s="1"/>
  <c r="AD15" i="143" s="1"/>
  <c r="AG15" i="143" s="1"/>
  <c r="AJ15" i="143" s="1"/>
  <c r="AM15" i="143" s="1"/>
  <c r="AP15" i="143" s="1"/>
  <c r="AS15" i="143" s="1"/>
  <c r="AV15" i="143" s="1"/>
  <c r="AY15" i="143" s="1"/>
  <c r="BB15" i="143" s="1"/>
  <c r="BE15" i="143" s="1"/>
  <c r="BH15" i="143" s="1"/>
  <c r="BK15" i="143" s="1"/>
  <c r="BN15" i="143" s="1"/>
  <c r="BQ15" i="143" s="1"/>
  <c r="BT15" i="143" s="1"/>
  <c r="BW15" i="143" s="1"/>
  <c r="BZ15" i="143" s="1"/>
  <c r="CC15" i="143" s="1"/>
  <c r="CF15" i="143" s="1"/>
  <c r="CI15" i="143" s="1"/>
  <c r="CL15" i="143" s="1"/>
  <c r="CO15" i="143" s="1"/>
  <c r="CR15" i="143" s="1"/>
  <c r="CU15" i="143" s="1"/>
  <c r="CV14" i="143"/>
  <c r="CV13" i="143"/>
  <c r="CV12" i="143"/>
  <c r="CW11" i="143"/>
  <c r="CV11" i="143"/>
  <c r="I11" i="143"/>
  <c r="L11" i="143" s="1"/>
  <c r="O11" i="143" s="1"/>
  <c r="R11" i="143" s="1"/>
  <c r="U11" i="143" s="1"/>
  <c r="X11" i="143" s="1"/>
  <c r="AA11" i="143" s="1"/>
  <c r="AD11" i="143" s="1"/>
  <c r="AG11" i="143" s="1"/>
  <c r="AJ11" i="143" s="1"/>
  <c r="AM11" i="143" s="1"/>
  <c r="AP11" i="143" s="1"/>
  <c r="AS11" i="143" s="1"/>
  <c r="AV11" i="143" s="1"/>
  <c r="AY11" i="143" s="1"/>
  <c r="BB11" i="143" s="1"/>
  <c r="BE11" i="143" s="1"/>
  <c r="BH11" i="143" s="1"/>
  <c r="BK11" i="143" s="1"/>
  <c r="BN11" i="143" s="1"/>
  <c r="BQ11" i="143" s="1"/>
  <c r="BT11" i="143" s="1"/>
  <c r="BW11" i="143" s="1"/>
  <c r="BZ11" i="143" s="1"/>
  <c r="CC11" i="143" s="1"/>
  <c r="CF11" i="143" s="1"/>
  <c r="CI11" i="143" s="1"/>
  <c r="CL11" i="143" s="1"/>
  <c r="CO11" i="143" s="1"/>
  <c r="CR11" i="143" s="1"/>
  <c r="CU11" i="143" s="1"/>
  <c r="CW10" i="143"/>
  <c r="CV10" i="143"/>
  <c r="I10" i="143"/>
  <c r="L10" i="143" s="1"/>
  <c r="O10" i="143" s="1"/>
  <c r="R10" i="143" s="1"/>
  <c r="U10" i="143" s="1"/>
  <c r="X10" i="143" s="1"/>
  <c r="AA10" i="143" s="1"/>
  <c r="AD10" i="143" s="1"/>
  <c r="AG10" i="143" s="1"/>
  <c r="AJ10" i="143" s="1"/>
  <c r="AM10" i="143" s="1"/>
  <c r="AP10" i="143" s="1"/>
  <c r="AS10" i="143" s="1"/>
  <c r="AV10" i="143" s="1"/>
  <c r="AY10" i="143" s="1"/>
  <c r="BB10" i="143" s="1"/>
  <c r="BE10" i="143" s="1"/>
  <c r="BH10" i="143" s="1"/>
  <c r="BK10" i="143" s="1"/>
  <c r="BN10" i="143" s="1"/>
  <c r="BQ10" i="143" s="1"/>
  <c r="BT10" i="143" s="1"/>
  <c r="BW10" i="143" s="1"/>
  <c r="BZ10" i="143" s="1"/>
  <c r="CC10" i="143" s="1"/>
  <c r="CF10" i="143" s="1"/>
  <c r="CI10" i="143" s="1"/>
  <c r="CL10" i="143" s="1"/>
  <c r="CO10" i="143" s="1"/>
  <c r="CR10" i="143" s="1"/>
  <c r="CU10" i="143" s="1"/>
  <c r="CW9" i="143"/>
  <c r="CV9" i="143"/>
  <c r="I9" i="143"/>
  <c r="L9" i="143" s="1"/>
  <c r="O9" i="143" s="1"/>
  <c r="R9" i="143" s="1"/>
  <c r="U9" i="143" s="1"/>
  <c r="X9" i="143" s="1"/>
  <c r="AA9" i="143" s="1"/>
  <c r="AD9" i="143" s="1"/>
  <c r="AG9" i="143" s="1"/>
  <c r="AJ9" i="143" s="1"/>
  <c r="AM9" i="143" s="1"/>
  <c r="AP9" i="143" s="1"/>
  <c r="AS9" i="143" s="1"/>
  <c r="AV9" i="143" s="1"/>
  <c r="AY9" i="143" s="1"/>
  <c r="BB9" i="143" s="1"/>
  <c r="BE9" i="143" s="1"/>
  <c r="BH9" i="143" s="1"/>
  <c r="BK9" i="143" s="1"/>
  <c r="BN9" i="143" s="1"/>
  <c r="BQ9" i="143" s="1"/>
  <c r="BT9" i="143" s="1"/>
  <c r="BW9" i="143" s="1"/>
  <c r="BZ9" i="143" s="1"/>
  <c r="CC9" i="143" s="1"/>
  <c r="CF9" i="143" s="1"/>
  <c r="CI9" i="143" s="1"/>
  <c r="CL9" i="143" s="1"/>
  <c r="CO9" i="143" s="1"/>
  <c r="CR9" i="143" s="1"/>
  <c r="CU9" i="143" s="1"/>
  <c r="CV8" i="143"/>
  <c r="CW8" i="143"/>
  <c r="I8" i="143"/>
  <c r="L8" i="143" s="1"/>
  <c r="O8" i="143" s="1"/>
  <c r="R8" i="143" s="1"/>
  <c r="U8" i="143" s="1"/>
  <c r="X8" i="143" s="1"/>
  <c r="AA8" i="143" s="1"/>
  <c r="AD8" i="143" s="1"/>
  <c r="AG8" i="143" s="1"/>
  <c r="AJ8" i="143" s="1"/>
  <c r="AM8" i="143" s="1"/>
  <c r="AP8" i="143" s="1"/>
  <c r="AS8" i="143" s="1"/>
  <c r="AV8" i="143" s="1"/>
  <c r="AY8" i="143" s="1"/>
  <c r="BB8" i="143" s="1"/>
  <c r="BE8" i="143" s="1"/>
  <c r="BH8" i="143" s="1"/>
  <c r="BK8" i="143" s="1"/>
  <c r="BN8" i="143" s="1"/>
  <c r="BQ8" i="143" s="1"/>
  <c r="BT8" i="143" s="1"/>
  <c r="BW8" i="143" s="1"/>
  <c r="BZ8" i="143" s="1"/>
  <c r="CC8" i="143" s="1"/>
  <c r="CF8" i="143" s="1"/>
  <c r="CI8" i="143" s="1"/>
  <c r="CL8" i="143" s="1"/>
  <c r="CO8" i="143" s="1"/>
  <c r="CR8" i="143" s="1"/>
  <c r="CU8" i="143" s="1"/>
  <c r="CW7" i="143"/>
  <c r="CV7" i="143"/>
  <c r="I7" i="143"/>
  <c r="L7" i="143" s="1"/>
  <c r="O7" i="143" s="1"/>
  <c r="R7" i="143" s="1"/>
  <c r="U7" i="143" s="1"/>
  <c r="X7" i="143" s="1"/>
  <c r="AA7" i="143" s="1"/>
  <c r="AD7" i="143" s="1"/>
  <c r="AG7" i="143" s="1"/>
  <c r="AJ7" i="143" s="1"/>
  <c r="AM7" i="143" s="1"/>
  <c r="AP7" i="143" s="1"/>
  <c r="AS7" i="143" s="1"/>
  <c r="AV7" i="143" s="1"/>
  <c r="AY7" i="143" s="1"/>
  <c r="BB7" i="143" s="1"/>
  <c r="BE7" i="143" s="1"/>
  <c r="BH7" i="143" s="1"/>
  <c r="BK7" i="143" s="1"/>
  <c r="BN7" i="143" s="1"/>
  <c r="BQ7" i="143" s="1"/>
  <c r="BT7" i="143" s="1"/>
  <c r="BW7" i="143" s="1"/>
  <c r="BZ7" i="143" s="1"/>
  <c r="CC7" i="143" s="1"/>
  <c r="CF7" i="143" s="1"/>
  <c r="CI7" i="143" s="1"/>
  <c r="CL7" i="143" s="1"/>
  <c r="CO7" i="143" s="1"/>
  <c r="CR7" i="143" s="1"/>
  <c r="CU7" i="143" s="1"/>
  <c r="CV6" i="143"/>
  <c r="CW6" i="143"/>
  <c r="I6" i="143"/>
  <c r="L6" i="143" s="1"/>
  <c r="O6" i="143" s="1"/>
  <c r="R6" i="143" s="1"/>
  <c r="U6" i="143" s="1"/>
  <c r="X6" i="143" s="1"/>
  <c r="AA6" i="143" s="1"/>
  <c r="AD6" i="143" s="1"/>
  <c r="AG6" i="143" s="1"/>
  <c r="AJ6" i="143" s="1"/>
  <c r="AM6" i="143" s="1"/>
  <c r="AP6" i="143" s="1"/>
  <c r="AS6" i="143" s="1"/>
  <c r="AV6" i="143" s="1"/>
  <c r="AY6" i="143" s="1"/>
  <c r="BB6" i="143" s="1"/>
  <c r="BE6" i="143" s="1"/>
  <c r="BH6" i="143" s="1"/>
  <c r="BK6" i="143" s="1"/>
  <c r="BN6" i="143" s="1"/>
  <c r="BQ6" i="143" s="1"/>
  <c r="BT6" i="143" s="1"/>
  <c r="BW6" i="143" s="1"/>
  <c r="BZ6" i="143" s="1"/>
  <c r="CC6" i="143" s="1"/>
  <c r="CF6" i="143" s="1"/>
  <c r="CI6" i="143" s="1"/>
  <c r="CL6" i="143" s="1"/>
  <c r="CO6" i="143" s="1"/>
  <c r="CR6" i="143" s="1"/>
  <c r="CU6" i="143" s="1"/>
  <c r="CW5" i="143"/>
  <c r="CV5" i="143"/>
  <c r="I5" i="143"/>
  <c r="L5" i="143" s="1"/>
  <c r="O5" i="143" s="1"/>
  <c r="R5" i="143" s="1"/>
  <c r="U5" i="143" s="1"/>
  <c r="X5" i="143" s="1"/>
  <c r="AA5" i="143" s="1"/>
  <c r="AD5" i="143" s="1"/>
  <c r="AG5" i="143" s="1"/>
  <c r="AJ5" i="143" s="1"/>
  <c r="AM5" i="143" s="1"/>
  <c r="AP5" i="143" s="1"/>
  <c r="AS5" i="143" s="1"/>
  <c r="AV5" i="143" s="1"/>
  <c r="AY5" i="143" s="1"/>
  <c r="BB5" i="143" s="1"/>
  <c r="BE5" i="143" s="1"/>
  <c r="BH5" i="143" s="1"/>
  <c r="BK5" i="143" s="1"/>
  <c r="BN5" i="143" s="1"/>
  <c r="BQ5" i="143" s="1"/>
  <c r="BT5" i="143" s="1"/>
  <c r="BW5" i="143" s="1"/>
  <c r="BZ5" i="143" s="1"/>
  <c r="CC5" i="143" s="1"/>
  <c r="CF5" i="143" s="1"/>
  <c r="CI5" i="143" s="1"/>
  <c r="CL5" i="143" s="1"/>
  <c r="CO5" i="143" s="1"/>
  <c r="CR5" i="143" s="1"/>
  <c r="CU5" i="143" s="1"/>
  <c r="CT60" i="142"/>
  <c r="CT29" i="142"/>
  <c r="CQ22" i="142"/>
  <c r="CQ23" i="142"/>
  <c r="CQ15" i="142"/>
  <c r="CQ77" i="142"/>
  <c r="CQ39" i="142"/>
  <c r="CP76" i="142"/>
  <c r="CP17" i="142"/>
  <c r="CQ76" i="142"/>
  <c r="CQ63" i="142"/>
  <c r="CQ59" i="142"/>
  <c r="CQ12" i="142"/>
  <c r="AA46" i="143" l="1"/>
  <c r="AD46" i="143" s="1"/>
  <c r="AG46" i="143" s="1"/>
  <c r="AJ46" i="143" s="1"/>
  <c r="AM46" i="143" s="1"/>
  <c r="AP46" i="143" s="1"/>
  <c r="AS46" i="143" s="1"/>
  <c r="AV46" i="143" s="1"/>
  <c r="AY46" i="143" s="1"/>
  <c r="BB46" i="143" s="1"/>
  <c r="BE46" i="143" s="1"/>
  <c r="BH46" i="143" s="1"/>
  <c r="BK46" i="143" s="1"/>
  <c r="BN46" i="143" s="1"/>
  <c r="BQ46" i="143" s="1"/>
  <c r="BT46" i="143" s="1"/>
  <c r="BW46" i="143" s="1"/>
  <c r="BZ46" i="143" s="1"/>
  <c r="CC46" i="143" s="1"/>
  <c r="CF46" i="143" s="1"/>
  <c r="CI46" i="143" s="1"/>
  <c r="CL46" i="143" s="1"/>
  <c r="CO46" i="143" s="1"/>
  <c r="CR46" i="143" s="1"/>
  <c r="CU46" i="143" s="1"/>
  <c r="L63" i="143"/>
  <c r="O63" i="143" s="1"/>
  <c r="R63" i="143" s="1"/>
  <c r="U63" i="143" s="1"/>
  <c r="X63" i="143" s="1"/>
  <c r="AA63" i="143" s="1"/>
  <c r="AD63" i="143" s="1"/>
  <c r="AG63" i="143" s="1"/>
  <c r="AJ63" i="143" s="1"/>
  <c r="AM63" i="143" s="1"/>
  <c r="AP63" i="143" s="1"/>
  <c r="AS63" i="143" s="1"/>
  <c r="AV63" i="143" s="1"/>
  <c r="AY63" i="143" s="1"/>
  <c r="BB63" i="143" s="1"/>
  <c r="BE63" i="143" s="1"/>
  <c r="BH63" i="143" s="1"/>
  <c r="BK63" i="143" s="1"/>
  <c r="BN63" i="143" s="1"/>
  <c r="BQ63" i="143" s="1"/>
  <c r="BT63" i="143" s="1"/>
  <c r="BW63" i="143" s="1"/>
  <c r="BZ63" i="143" s="1"/>
  <c r="CC63" i="143" s="1"/>
  <c r="CF63" i="143" s="1"/>
  <c r="CI63" i="143" s="1"/>
  <c r="CL63" i="143" s="1"/>
  <c r="CO63" i="143" s="1"/>
  <c r="CR63" i="143" s="1"/>
  <c r="CU63" i="143" s="1"/>
  <c r="CW17" i="143"/>
  <c r="L39" i="143"/>
  <c r="O39" i="143" s="1"/>
  <c r="R39" i="143" s="1"/>
  <c r="U39" i="143" s="1"/>
  <c r="X39" i="143" s="1"/>
  <c r="AA39" i="143" s="1"/>
  <c r="AD39" i="143" s="1"/>
  <c r="AG39" i="143" s="1"/>
  <c r="AJ39" i="143" s="1"/>
  <c r="AM39" i="143" s="1"/>
  <c r="AP39" i="143" s="1"/>
  <c r="AS39" i="143" s="1"/>
  <c r="AV39" i="143" s="1"/>
  <c r="AY39" i="143" s="1"/>
  <c r="BB39" i="143" s="1"/>
  <c r="BE39" i="143" s="1"/>
  <c r="BH39" i="143" s="1"/>
  <c r="BK39" i="143" s="1"/>
  <c r="BN39" i="143" s="1"/>
  <c r="BQ39" i="143" s="1"/>
  <c r="BT39" i="143" s="1"/>
  <c r="BW39" i="143" s="1"/>
  <c r="BZ39" i="143" s="1"/>
  <c r="CC39" i="143" s="1"/>
  <c r="CF39" i="143" s="1"/>
  <c r="CI39" i="143" s="1"/>
  <c r="CL39" i="143" s="1"/>
  <c r="CO39" i="143" s="1"/>
  <c r="CR39" i="143" s="1"/>
  <c r="CU39" i="143" s="1"/>
  <c r="CX39" i="143" s="1"/>
  <c r="CZ39" i="143" s="1"/>
  <c r="L59" i="143"/>
  <c r="O59" i="143" s="1"/>
  <c r="R59" i="143" s="1"/>
  <c r="U59" i="143" s="1"/>
  <c r="X59" i="143" s="1"/>
  <c r="AA59" i="143" s="1"/>
  <c r="AD59" i="143" s="1"/>
  <c r="AG59" i="143" s="1"/>
  <c r="AJ59" i="143" s="1"/>
  <c r="AM59" i="143" s="1"/>
  <c r="AP59" i="143" s="1"/>
  <c r="AS59" i="143" s="1"/>
  <c r="AV59" i="143" s="1"/>
  <c r="AY59" i="143" s="1"/>
  <c r="BB59" i="143" s="1"/>
  <c r="BE59" i="143" s="1"/>
  <c r="BH59" i="143" s="1"/>
  <c r="BK59" i="143" s="1"/>
  <c r="BN59" i="143" s="1"/>
  <c r="BQ59" i="143" s="1"/>
  <c r="BT59" i="143" s="1"/>
  <c r="BW59" i="143" s="1"/>
  <c r="BZ59" i="143" s="1"/>
  <c r="CC59" i="143" s="1"/>
  <c r="CF59" i="143" s="1"/>
  <c r="CI59" i="143" s="1"/>
  <c r="CL59" i="143" s="1"/>
  <c r="CO59" i="143" s="1"/>
  <c r="CR59" i="143" s="1"/>
  <c r="CU59" i="143" s="1"/>
  <c r="L16" i="143"/>
  <c r="O16" i="143" s="1"/>
  <c r="R16" i="143" s="1"/>
  <c r="U16" i="143" s="1"/>
  <c r="X16" i="143" s="1"/>
  <c r="AA16" i="143" s="1"/>
  <c r="AD16" i="143" s="1"/>
  <c r="AG16" i="143" s="1"/>
  <c r="AJ16" i="143" s="1"/>
  <c r="AM16" i="143" s="1"/>
  <c r="AP16" i="143" s="1"/>
  <c r="AS16" i="143" s="1"/>
  <c r="AV16" i="143" s="1"/>
  <c r="AY16" i="143" s="1"/>
  <c r="BB16" i="143" s="1"/>
  <c r="BE16" i="143" s="1"/>
  <c r="BH16" i="143" s="1"/>
  <c r="BK16" i="143" s="1"/>
  <c r="BN16" i="143" s="1"/>
  <c r="BQ16" i="143" s="1"/>
  <c r="BT16" i="143" s="1"/>
  <c r="BW16" i="143" s="1"/>
  <c r="BZ16" i="143" s="1"/>
  <c r="CC16" i="143" s="1"/>
  <c r="CF16" i="143" s="1"/>
  <c r="CI16" i="143" s="1"/>
  <c r="CL16" i="143" s="1"/>
  <c r="CO16" i="143" s="1"/>
  <c r="CR16" i="143" s="1"/>
  <c r="CU16" i="143" s="1"/>
  <c r="CX16" i="143" s="1"/>
  <c r="CZ16" i="143" s="1"/>
  <c r="L60" i="143"/>
  <c r="O60" i="143" s="1"/>
  <c r="R60" i="143" s="1"/>
  <c r="U60" i="143" s="1"/>
  <c r="X60" i="143" s="1"/>
  <c r="AA60" i="143" s="1"/>
  <c r="AD60" i="143" s="1"/>
  <c r="AG60" i="143" s="1"/>
  <c r="AJ60" i="143" s="1"/>
  <c r="AM60" i="143" s="1"/>
  <c r="AP60" i="143" s="1"/>
  <c r="AS60" i="143" s="1"/>
  <c r="AV60" i="143" s="1"/>
  <c r="AY60" i="143" s="1"/>
  <c r="BB60" i="143" s="1"/>
  <c r="BE60" i="143" s="1"/>
  <c r="BH60" i="143" s="1"/>
  <c r="BK60" i="143" s="1"/>
  <c r="BN60" i="143" s="1"/>
  <c r="BQ60" i="143" s="1"/>
  <c r="BT60" i="143" s="1"/>
  <c r="BW60" i="143" s="1"/>
  <c r="BZ60" i="143" s="1"/>
  <c r="CC60" i="143" s="1"/>
  <c r="CF60" i="143" s="1"/>
  <c r="CI60" i="143" s="1"/>
  <c r="CL60" i="143" s="1"/>
  <c r="CO60" i="143" s="1"/>
  <c r="CR60" i="143" s="1"/>
  <c r="CU60" i="143" s="1"/>
  <c r="DB60" i="143" s="1"/>
  <c r="DE60" i="143" s="1"/>
  <c r="I14" i="143"/>
  <c r="L14" i="143" s="1"/>
  <c r="O14" i="143" s="1"/>
  <c r="R14" i="143" s="1"/>
  <c r="U14" i="143" s="1"/>
  <c r="X14" i="143" s="1"/>
  <c r="AA14" i="143" s="1"/>
  <c r="AD14" i="143" s="1"/>
  <c r="AG14" i="143" s="1"/>
  <c r="AJ14" i="143" s="1"/>
  <c r="AM14" i="143" s="1"/>
  <c r="AP14" i="143" s="1"/>
  <c r="AS14" i="143" s="1"/>
  <c r="AV14" i="143" s="1"/>
  <c r="AY14" i="143" s="1"/>
  <c r="BB14" i="143" s="1"/>
  <c r="BE14" i="143" s="1"/>
  <c r="BH14" i="143" s="1"/>
  <c r="BK14" i="143" s="1"/>
  <c r="BN14" i="143" s="1"/>
  <c r="BQ14" i="143" s="1"/>
  <c r="BT14" i="143" s="1"/>
  <c r="BW14" i="143" s="1"/>
  <c r="BZ14" i="143" s="1"/>
  <c r="CC14" i="143" s="1"/>
  <c r="CF14" i="143" s="1"/>
  <c r="CI14" i="143" s="1"/>
  <c r="CL14" i="143" s="1"/>
  <c r="CO14" i="143" s="1"/>
  <c r="CR14" i="143" s="1"/>
  <c r="CU14" i="143" s="1"/>
  <c r="DB14" i="143" s="1"/>
  <c r="DE14" i="143" s="1"/>
  <c r="L45" i="143"/>
  <c r="O45" i="143" s="1"/>
  <c r="R45" i="143" s="1"/>
  <c r="U45" i="143" s="1"/>
  <c r="X45" i="143" s="1"/>
  <c r="AA45" i="143" s="1"/>
  <c r="AD45" i="143" s="1"/>
  <c r="AG45" i="143" s="1"/>
  <c r="AJ45" i="143" s="1"/>
  <c r="AM45" i="143" s="1"/>
  <c r="AP45" i="143" s="1"/>
  <c r="AS45" i="143" s="1"/>
  <c r="AV45" i="143" s="1"/>
  <c r="AY45" i="143" s="1"/>
  <c r="BB45" i="143" s="1"/>
  <c r="BE45" i="143" s="1"/>
  <c r="BH45" i="143" s="1"/>
  <c r="BK45" i="143" s="1"/>
  <c r="BN45" i="143" s="1"/>
  <c r="BQ45" i="143" s="1"/>
  <c r="BT45" i="143" s="1"/>
  <c r="BW45" i="143" s="1"/>
  <c r="BZ45" i="143" s="1"/>
  <c r="CC45" i="143" s="1"/>
  <c r="CF45" i="143" s="1"/>
  <c r="CI45" i="143" s="1"/>
  <c r="CL45" i="143" s="1"/>
  <c r="CO45" i="143" s="1"/>
  <c r="CR45" i="143" s="1"/>
  <c r="CU45" i="143" s="1"/>
  <c r="CX45" i="143" s="1"/>
  <c r="CZ45" i="143" s="1"/>
  <c r="L36" i="143"/>
  <c r="O36" i="143" s="1"/>
  <c r="R36" i="143" s="1"/>
  <c r="U36" i="143" s="1"/>
  <c r="X36" i="143" s="1"/>
  <c r="AA36" i="143" s="1"/>
  <c r="AD36" i="143" s="1"/>
  <c r="AG36" i="143" s="1"/>
  <c r="AJ36" i="143" s="1"/>
  <c r="AM36" i="143" s="1"/>
  <c r="AP36" i="143" s="1"/>
  <c r="AS36" i="143" s="1"/>
  <c r="AV36" i="143" s="1"/>
  <c r="AY36" i="143" s="1"/>
  <c r="BB36" i="143" s="1"/>
  <c r="BE36" i="143" s="1"/>
  <c r="BH36" i="143" s="1"/>
  <c r="BK36" i="143" s="1"/>
  <c r="BN36" i="143" s="1"/>
  <c r="BQ36" i="143" s="1"/>
  <c r="BT36" i="143" s="1"/>
  <c r="BW36" i="143" s="1"/>
  <c r="BZ36" i="143" s="1"/>
  <c r="CC36" i="143" s="1"/>
  <c r="CF36" i="143" s="1"/>
  <c r="CI36" i="143" s="1"/>
  <c r="CL36" i="143" s="1"/>
  <c r="CO36" i="143" s="1"/>
  <c r="CR36" i="143" s="1"/>
  <c r="CU36" i="143" s="1"/>
  <c r="CW13" i="143"/>
  <c r="I48" i="143"/>
  <c r="L48" i="143" s="1"/>
  <c r="O48" i="143" s="1"/>
  <c r="R48" i="143" s="1"/>
  <c r="U48" i="143" s="1"/>
  <c r="X48" i="143" s="1"/>
  <c r="AA48" i="143" s="1"/>
  <c r="AD48" i="143" s="1"/>
  <c r="AG48" i="143" s="1"/>
  <c r="AJ48" i="143" s="1"/>
  <c r="AM48" i="143" s="1"/>
  <c r="AP48" i="143" s="1"/>
  <c r="AS48" i="143" s="1"/>
  <c r="AV48" i="143" s="1"/>
  <c r="AY48" i="143" s="1"/>
  <c r="BB48" i="143" s="1"/>
  <c r="BE48" i="143" s="1"/>
  <c r="BH48" i="143" s="1"/>
  <c r="BK48" i="143" s="1"/>
  <c r="BN48" i="143" s="1"/>
  <c r="BQ48" i="143" s="1"/>
  <c r="BT48" i="143" s="1"/>
  <c r="BW48" i="143" s="1"/>
  <c r="BZ48" i="143" s="1"/>
  <c r="CC48" i="143" s="1"/>
  <c r="CF48" i="143" s="1"/>
  <c r="CI48" i="143" s="1"/>
  <c r="CL48" i="143" s="1"/>
  <c r="CO48" i="143" s="1"/>
  <c r="CR48" i="143" s="1"/>
  <c r="CU48" i="143" s="1"/>
  <c r="I12" i="143"/>
  <c r="L12" i="143" s="1"/>
  <c r="O12" i="143" s="1"/>
  <c r="R12" i="143" s="1"/>
  <c r="U12" i="143" s="1"/>
  <c r="X12" i="143" s="1"/>
  <c r="AA12" i="143" s="1"/>
  <c r="AD12" i="143" s="1"/>
  <c r="AG12" i="143" s="1"/>
  <c r="AJ12" i="143" s="1"/>
  <c r="AM12" i="143" s="1"/>
  <c r="AP12" i="143" s="1"/>
  <c r="AS12" i="143" s="1"/>
  <c r="AV12" i="143" s="1"/>
  <c r="AY12" i="143" s="1"/>
  <c r="BB12" i="143" s="1"/>
  <c r="BE12" i="143" s="1"/>
  <c r="BH12" i="143" s="1"/>
  <c r="BK12" i="143" s="1"/>
  <c r="BN12" i="143" s="1"/>
  <c r="BQ12" i="143" s="1"/>
  <c r="BT12" i="143" s="1"/>
  <c r="BW12" i="143" s="1"/>
  <c r="BZ12" i="143" s="1"/>
  <c r="CC12" i="143" s="1"/>
  <c r="CF12" i="143" s="1"/>
  <c r="CI12" i="143" s="1"/>
  <c r="CL12" i="143" s="1"/>
  <c r="CO12" i="143" s="1"/>
  <c r="CR12" i="143" s="1"/>
  <c r="CU12" i="143" s="1"/>
  <c r="DB12" i="143" s="1"/>
  <c r="DE12" i="143" s="1"/>
  <c r="CX62" i="143"/>
  <c r="CZ62" i="143" s="1"/>
  <c r="DB62" i="143"/>
  <c r="DE62" i="143" s="1"/>
  <c r="DB35" i="143"/>
  <c r="DE35" i="143" s="1"/>
  <c r="CX35" i="143"/>
  <c r="CZ35" i="143" s="1"/>
  <c r="CX10" i="143"/>
  <c r="CZ10" i="143" s="1"/>
  <c r="DB10" i="143"/>
  <c r="DE10" i="143" s="1"/>
  <c r="CX25" i="143"/>
  <c r="CZ25" i="143" s="1"/>
  <c r="DB25" i="143"/>
  <c r="DE25" i="143" s="1"/>
  <c r="CX33" i="143"/>
  <c r="CZ33" i="143" s="1"/>
  <c r="DB33" i="143"/>
  <c r="DE33" i="143" s="1"/>
  <c r="DB44" i="143"/>
  <c r="DE44" i="143" s="1"/>
  <c r="CX44" i="143"/>
  <c r="CZ44" i="143" s="1"/>
  <c r="CX9" i="143"/>
  <c r="CZ9" i="143" s="1"/>
  <c r="DB9" i="143"/>
  <c r="DE9" i="143" s="1"/>
  <c r="DB22" i="143"/>
  <c r="DE22" i="143" s="1"/>
  <c r="CX22" i="143"/>
  <c r="CZ22" i="143" s="1"/>
  <c r="DB8" i="143"/>
  <c r="DE8" i="143" s="1"/>
  <c r="CX8" i="143"/>
  <c r="CZ8" i="143" s="1"/>
  <c r="DB15" i="143"/>
  <c r="DE15" i="143" s="1"/>
  <c r="CX15" i="143"/>
  <c r="CZ15" i="143" s="1"/>
  <c r="DB20" i="143"/>
  <c r="DE20" i="143" s="1"/>
  <c r="CX20" i="143"/>
  <c r="CZ20" i="143" s="1"/>
  <c r="DB47" i="143"/>
  <c r="DE47" i="143" s="1"/>
  <c r="CX47" i="143"/>
  <c r="CZ47" i="143" s="1"/>
  <c r="DB6" i="143"/>
  <c r="DE6" i="143" s="1"/>
  <c r="CX6" i="143"/>
  <c r="CZ6" i="143" s="1"/>
  <c r="DB29" i="143"/>
  <c r="DE29" i="143" s="1"/>
  <c r="CX29" i="143"/>
  <c r="CZ29" i="143" s="1"/>
  <c r="DB18" i="143"/>
  <c r="DE18" i="143" s="1"/>
  <c r="CX18" i="143"/>
  <c r="CZ18" i="143" s="1"/>
  <c r="DB30" i="143"/>
  <c r="DE30" i="143" s="1"/>
  <c r="CX30" i="143"/>
  <c r="CZ30" i="143" s="1"/>
  <c r="DB32" i="143"/>
  <c r="DE32" i="143" s="1"/>
  <c r="CX32" i="143"/>
  <c r="CZ32" i="143" s="1"/>
  <c r="DB11" i="143"/>
  <c r="DE11" i="143" s="1"/>
  <c r="CX11" i="143"/>
  <c r="CZ11" i="143" s="1"/>
  <c r="CX37" i="143"/>
  <c r="CZ37" i="143" s="1"/>
  <c r="DB37" i="143"/>
  <c r="DE37" i="143" s="1"/>
  <c r="CX5" i="143"/>
  <c r="CZ5" i="143" s="1"/>
  <c r="DB5" i="143"/>
  <c r="DE5" i="143" s="1"/>
  <c r="CX24" i="143"/>
  <c r="CZ24" i="143" s="1"/>
  <c r="DB24" i="143"/>
  <c r="DE24" i="143" s="1"/>
  <c r="DB28" i="143"/>
  <c r="DE28" i="143" s="1"/>
  <c r="CX28" i="143"/>
  <c r="CZ28" i="143" s="1"/>
  <c r="DB51" i="143"/>
  <c r="DE51" i="143" s="1"/>
  <c r="CX51" i="143"/>
  <c r="CZ51" i="143" s="1"/>
  <c r="DB21" i="143"/>
  <c r="DE21" i="143" s="1"/>
  <c r="CX21" i="143"/>
  <c r="CZ21" i="143" s="1"/>
  <c r="CX34" i="143"/>
  <c r="CZ34" i="143" s="1"/>
  <c r="DB34" i="143"/>
  <c r="DE34" i="143" s="1"/>
  <c r="DB41" i="143"/>
  <c r="DE41" i="143" s="1"/>
  <c r="CX41" i="143"/>
  <c r="CZ41" i="143" s="1"/>
  <c r="DB17" i="143"/>
  <c r="DE17" i="143" s="1"/>
  <c r="CX17" i="143"/>
  <c r="CZ17" i="143" s="1"/>
  <c r="CX19" i="143"/>
  <c r="CZ19" i="143" s="1"/>
  <c r="DB19" i="143"/>
  <c r="DE19" i="143" s="1"/>
  <c r="DB26" i="143"/>
  <c r="DE26" i="143" s="1"/>
  <c r="CX26" i="143"/>
  <c r="CZ26" i="143" s="1"/>
  <c r="CX31" i="143"/>
  <c r="CZ31" i="143" s="1"/>
  <c r="DB31" i="143"/>
  <c r="DE31" i="143" s="1"/>
  <c r="DB42" i="143"/>
  <c r="DE42" i="143" s="1"/>
  <c r="CX42" i="143"/>
  <c r="CZ42" i="143" s="1"/>
  <c r="DB53" i="143"/>
  <c r="DE53" i="143" s="1"/>
  <c r="CX53" i="143"/>
  <c r="CZ53" i="143" s="1"/>
  <c r="CX7" i="143"/>
  <c r="CZ7" i="143" s="1"/>
  <c r="DB7" i="143"/>
  <c r="DE7" i="143" s="1"/>
  <c r="CX13" i="143"/>
  <c r="CZ13" i="143" s="1"/>
  <c r="DB13" i="143"/>
  <c r="DE13" i="143" s="1"/>
  <c r="DB38" i="143"/>
  <c r="DE38" i="143" s="1"/>
  <c r="CX38" i="143"/>
  <c r="CZ38" i="143" s="1"/>
  <c r="DB50" i="143"/>
  <c r="DE50" i="143" s="1"/>
  <c r="CX50" i="143"/>
  <c r="CZ50" i="143" s="1"/>
  <c r="CX75" i="143"/>
  <c r="CZ75" i="143" s="1"/>
  <c r="DB75" i="143"/>
  <c r="DE75" i="143" s="1"/>
  <c r="O40" i="143"/>
  <c r="R40" i="143" s="1"/>
  <c r="U40" i="143" s="1"/>
  <c r="X40" i="143" s="1"/>
  <c r="AA40" i="143" s="1"/>
  <c r="AD40" i="143" s="1"/>
  <c r="AG40" i="143" s="1"/>
  <c r="AJ40" i="143" s="1"/>
  <c r="AM40" i="143" s="1"/>
  <c r="AP40" i="143" s="1"/>
  <c r="AS40" i="143" s="1"/>
  <c r="AV40" i="143" s="1"/>
  <c r="AY40" i="143" s="1"/>
  <c r="BB40" i="143" s="1"/>
  <c r="BE40" i="143" s="1"/>
  <c r="BH40" i="143" s="1"/>
  <c r="BK40" i="143" s="1"/>
  <c r="BN40" i="143" s="1"/>
  <c r="BQ40" i="143" s="1"/>
  <c r="BT40" i="143" s="1"/>
  <c r="BW40" i="143" s="1"/>
  <c r="BZ40" i="143" s="1"/>
  <c r="CC40" i="143" s="1"/>
  <c r="CF40" i="143" s="1"/>
  <c r="CI40" i="143" s="1"/>
  <c r="CL40" i="143" s="1"/>
  <c r="CO40" i="143" s="1"/>
  <c r="CR40" i="143" s="1"/>
  <c r="CU40" i="143" s="1"/>
  <c r="DB64" i="143"/>
  <c r="DE64" i="143" s="1"/>
  <c r="CX64" i="143"/>
  <c r="CZ64" i="143" s="1"/>
  <c r="CX79" i="143"/>
  <c r="CZ79" i="143" s="1"/>
  <c r="DB79" i="143"/>
  <c r="DE79" i="143" s="1"/>
  <c r="CW18" i="143"/>
  <c r="CW19" i="143"/>
  <c r="CW40" i="143"/>
  <c r="DB49" i="143"/>
  <c r="DE49" i="143" s="1"/>
  <c r="CX55" i="143"/>
  <c r="CZ55" i="143" s="1"/>
  <c r="DB55" i="143"/>
  <c r="DE55" i="143" s="1"/>
  <c r="DB54" i="143"/>
  <c r="DE54" i="143" s="1"/>
  <c r="CX54" i="143"/>
  <c r="CZ54" i="143" s="1"/>
  <c r="DB57" i="143"/>
  <c r="DE57" i="143" s="1"/>
  <c r="CX57" i="143"/>
  <c r="CZ57" i="143" s="1"/>
  <c r="DB67" i="143"/>
  <c r="DE67" i="143" s="1"/>
  <c r="CX67" i="143"/>
  <c r="CZ67" i="143" s="1"/>
  <c r="CW29" i="143"/>
  <c r="X43" i="143"/>
  <c r="AA43" i="143" s="1"/>
  <c r="AD43" i="143" s="1"/>
  <c r="AG43" i="143" s="1"/>
  <c r="AJ43" i="143" s="1"/>
  <c r="AM43" i="143" s="1"/>
  <c r="AP43" i="143" s="1"/>
  <c r="AS43" i="143" s="1"/>
  <c r="AV43" i="143" s="1"/>
  <c r="AY43" i="143" s="1"/>
  <c r="BB43" i="143" s="1"/>
  <c r="BE43" i="143" s="1"/>
  <c r="BH43" i="143" s="1"/>
  <c r="BK43" i="143" s="1"/>
  <c r="BN43" i="143" s="1"/>
  <c r="BQ43" i="143" s="1"/>
  <c r="BT43" i="143" s="1"/>
  <c r="BW43" i="143" s="1"/>
  <c r="BZ43" i="143" s="1"/>
  <c r="CC43" i="143" s="1"/>
  <c r="CF43" i="143" s="1"/>
  <c r="CI43" i="143" s="1"/>
  <c r="CL43" i="143" s="1"/>
  <c r="CO43" i="143" s="1"/>
  <c r="CR43" i="143" s="1"/>
  <c r="CU43" i="143" s="1"/>
  <c r="CX66" i="143"/>
  <c r="CZ66" i="143" s="1"/>
  <c r="DB66" i="143"/>
  <c r="DE66" i="143" s="1"/>
  <c r="CW23" i="143"/>
  <c r="CW24" i="143"/>
  <c r="R27" i="143"/>
  <c r="U27" i="143" s="1"/>
  <c r="X27" i="143" s="1"/>
  <c r="AA27" i="143" s="1"/>
  <c r="AD27" i="143" s="1"/>
  <c r="AG27" i="143" s="1"/>
  <c r="AJ27" i="143" s="1"/>
  <c r="AM27" i="143" s="1"/>
  <c r="AP27" i="143" s="1"/>
  <c r="AS27" i="143" s="1"/>
  <c r="AV27" i="143" s="1"/>
  <c r="AY27" i="143" s="1"/>
  <c r="BB27" i="143" s="1"/>
  <c r="BE27" i="143" s="1"/>
  <c r="BH27" i="143" s="1"/>
  <c r="BK27" i="143" s="1"/>
  <c r="BN27" i="143" s="1"/>
  <c r="BQ27" i="143" s="1"/>
  <c r="BT27" i="143" s="1"/>
  <c r="BW27" i="143" s="1"/>
  <c r="BZ27" i="143" s="1"/>
  <c r="CC27" i="143" s="1"/>
  <c r="CF27" i="143" s="1"/>
  <c r="CI27" i="143" s="1"/>
  <c r="CL27" i="143" s="1"/>
  <c r="CO27" i="143" s="1"/>
  <c r="CR27" i="143" s="1"/>
  <c r="CU27" i="143" s="1"/>
  <c r="CX56" i="143"/>
  <c r="CZ56" i="143" s="1"/>
  <c r="DB56" i="143"/>
  <c r="DE56" i="143" s="1"/>
  <c r="DB52" i="143"/>
  <c r="DE52" i="143" s="1"/>
  <c r="CX52" i="143"/>
  <c r="CZ52" i="143" s="1"/>
  <c r="R23" i="143"/>
  <c r="U23" i="143" s="1"/>
  <c r="X23" i="143" s="1"/>
  <c r="AA23" i="143" s="1"/>
  <c r="AD23" i="143" s="1"/>
  <c r="AG23" i="143" s="1"/>
  <c r="AJ23" i="143" s="1"/>
  <c r="AM23" i="143" s="1"/>
  <c r="AP23" i="143" s="1"/>
  <c r="AS23" i="143" s="1"/>
  <c r="AV23" i="143" s="1"/>
  <c r="AY23" i="143" s="1"/>
  <c r="BB23" i="143" s="1"/>
  <c r="BE23" i="143" s="1"/>
  <c r="BH23" i="143" s="1"/>
  <c r="BK23" i="143" s="1"/>
  <c r="BN23" i="143" s="1"/>
  <c r="BQ23" i="143" s="1"/>
  <c r="BT23" i="143" s="1"/>
  <c r="BW23" i="143" s="1"/>
  <c r="BZ23" i="143" s="1"/>
  <c r="CC23" i="143" s="1"/>
  <c r="CF23" i="143" s="1"/>
  <c r="CI23" i="143" s="1"/>
  <c r="CL23" i="143" s="1"/>
  <c r="CO23" i="143" s="1"/>
  <c r="CR23" i="143" s="1"/>
  <c r="CU23" i="143" s="1"/>
  <c r="CW25" i="143"/>
  <c r="CW27" i="143"/>
  <c r="CW39" i="143"/>
  <c r="CX68" i="143"/>
  <c r="CZ68" i="143" s="1"/>
  <c r="DB68" i="143"/>
  <c r="DE68" i="143" s="1"/>
  <c r="CX90" i="143"/>
  <c r="CZ90" i="143" s="1"/>
  <c r="DB90" i="143"/>
  <c r="DE90" i="143" s="1"/>
  <c r="CW45" i="143"/>
  <c r="BH58" i="143"/>
  <c r="BK58" i="143" s="1"/>
  <c r="BN58" i="143" s="1"/>
  <c r="BQ58" i="143" s="1"/>
  <c r="BT58" i="143" s="1"/>
  <c r="BW58" i="143" s="1"/>
  <c r="BZ58" i="143" s="1"/>
  <c r="CC58" i="143" s="1"/>
  <c r="CF58" i="143" s="1"/>
  <c r="CI58" i="143" s="1"/>
  <c r="CL58" i="143" s="1"/>
  <c r="CO58" i="143" s="1"/>
  <c r="CR58" i="143" s="1"/>
  <c r="CU58" i="143" s="1"/>
  <c r="DB69" i="143"/>
  <c r="DE69" i="143" s="1"/>
  <c r="CX69" i="143"/>
  <c r="CZ69" i="143" s="1"/>
  <c r="DB74" i="143"/>
  <c r="DE74" i="143" s="1"/>
  <c r="CX74" i="143"/>
  <c r="CZ74" i="143" s="1"/>
  <c r="BQ83" i="143"/>
  <c r="BT83" i="143" s="1"/>
  <c r="BW83" i="143" s="1"/>
  <c r="BZ83" i="143" s="1"/>
  <c r="CC83" i="143" s="1"/>
  <c r="CF83" i="143" s="1"/>
  <c r="CI83" i="143" s="1"/>
  <c r="CL83" i="143" s="1"/>
  <c r="CO83" i="143" s="1"/>
  <c r="CR83" i="143" s="1"/>
  <c r="CU83" i="143" s="1"/>
  <c r="CX87" i="143"/>
  <c r="CZ87" i="143" s="1"/>
  <c r="DB87" i="143"/>
  <c r="DE87" i="143" s="1"/>
  <c r="DB89" i="143"/>
  <c r="DE89" i="143" s="1"/>
  <c r="CX89" i="143"/>
  <c r="CZ89" i="143" s="1"/>
  <c r="DB65" i="143"/>
  <c r="DE65" i="143" s="1"/>
  <c r="CX65" i="143"/>
  <c r="CZ65" i="143" s="1"/>
  <c r="CX71" i="143"/>
  <c r="CZ71" i="143" s="1"/>
  <c r="DB71" i="143"/>
  <c r="DE71" i="143" s="1"/>
  <c r="DB72" i="143"/>
  <c r="DE72" i="143" s="1"/>
  <c r="CX72" i="143"/>
  <c r="CZ72" i="143" s="1"/>
  <c r="CX70" i="143"/>
  <c r="CZ70" i="143" s="1"/>
  <c r="DB70" i="143"/>
  <c r="DE70" i="143" s="1"/>
  <c r="CX80" i="143"/>
  <c r="CZ80" i="143" s="1"/>
  <c r="DB80" i="143"/>
  <c r="DE80" i="143" s="1"/>
  <c r="DB81" i="143"/>
  <c r="DE81" i="143" s="1"/>
  <c r="CX81" i="143"/>
  <c r="CZ81" i="143" s="1"/>
  <c r="DB93" i="143"/>
  <c r="DE93" i="143" s="1"/>
  <c r="CX93" i="143"/>
  <c r="CZ93" i="143" s="1"/>
  <c r="DB84" i="143"/>
  <c r="DE84" i="143" s="1"/>
  <c r="CX84" i="143"/>
  <c r="CZ84" i="143" s="1"/>
  <c r="CX61" i="143"/>
  <c r="CZ61" i="143" s="1"/>
  <c r="DB61" i="143"/>
  <c r="DE61" i="143" s="1"/>
  <c r="CW59" i="143"/>
  <c r="DB92" i="143"/>
  <c r="DE92" i="143" s="1"/>
  <c r="CX92" i="143"/>
  <c r="CZ92" i="143" s="1"/>
  <c r="CX86" i="143"/>
  <c r="CZ86" i="143" s="1"/>
  <c r="DB86" i="143"/>
  <c r="DE86" i="143" s="1"/>
  <c r="CW47" i="143"/>
  <c r="DB73" i="143"/>
  <c r="DE73" i="143" s="1"/>
  <c r="CX73" i="143"/>
  <c r="CZ73" i="143" s="1"/>
  <c r="BB77" i="143"/>
  <c r="BE77" i="143" s="1"/>
  <c r="BH77" i="143" s="1"/>
  <c r="BK77" i="143" s="1"/>
  <c r="BN77" i="143" s="1"/>
  <c r="BQ77" i="143" s="1"/>
  <c r="BT77" i="143" s="1"/>
  <c r="BW77" i="143" s="1"/>
  <c r="BZ77" i="143" s="1"/>
  <c r="CC77" i="143" s="1"/>
  <c r="CF77" i="143" s="1"/>
  <c r="CI77" i="143" s="1"/>
  <c r="CL77" i="143" s="1"/>
  <c r="CO77" i="143" s="1"/>
  <c r="CR77" i="143" s="1"/>
  <c r="CU77" i="143" s="1"/>
  <c r="CW63" i="143"/>
  <c r="AM82" i="143"/>
  <c r="AP82" i="143" s="1"/>
  <c r="AS82" i="143" s="1"/>
  <c r="AV82" i="143" s="1"/>
  <c r="AY82" i="143" s="1"/>
  <c r="BB82" i="143" s="1"/>
  <c r="BE82" i="143" s="1"/>
  <c r="BH82" i="143" s="1"/>
  <c r="BK82" i="143" s="1"/>
  <c r="BN82" i="143" s="1"/>
  <c r="BQ82" i="143" s="1"/>
  <c r="BT82" i="143" s="1"/>
  <c r="BW82" i="143" s="1"/>
  <c r="BZ82" i="143" s="1"/>
  <c r="CC82" i="143" s="1"/>
  <c r="CF82" i="143" s="1"/>
  <c r="CI82" i="143" s="1"/>
  <c r="CL82" i="143" s="1"/>
  <c r="CO82" i="143" s="1"/>
  <c r="CR82" i="143" s="1"/>
  <c r="CU82" i="143" s="1"/>
  <c r="CW58" i="143"/>
  <c r="DB88" i="143"/>
  <c r="DE88" i="143" s="1"/>
  <c r="CX88" i="143"/>
  <c r="CZ88" i="143" s="1"/>
  <c r="DB91" i="143"/>
  <c r="DE91" i="143" s="1"/>
  <c r="CX91" i="143"/>
  <c r="CZ91" i="143" s="1"/>
  <c r="AA76" i="143"/>
  <c r="AD76" i="143" s="1"/>
  <c r="AG76" i="143" s="1"/>
  <c r="AJ76" i="143" s="1"/>
  <c r="AM76" i="143" s="1"/>
  <c r="AP76" i="143" s="1"/>
  <c r="AS76" i="143" s="1"/>
  <c r="AV76" i="143" s="1"/>
  <c r="AY76" i="143" s="1"/>
  <c r="BB76" i="143" s="1"/>
  <c r="BE76" i="143" s="1"/>
  <c r="BH76" i="143" s="1"/>
  <c r="BK76" i="143" s="1"/>
  <c r="BN76" i="143" s="1"/>
  <c r="BQ76" i="143" s="1"/>
  <c r="BT76" i="143" s="1"/>
  <c r="BW76" i="143" s="1"/>
  <c r="BZ76" i="143" s="1"/>
  <c r="CC76" i="143" s="1"/>
  <c r="CF76" i="143" s="1"/>
  <c r="CI76" i="143" s="1"/>
  <c r="CL76" i="143" s="1"/>
  <c r="CO76" i="143" s="1"/>
  <c r="CR76" i="143" s="1"/>
  <c r="CU76" i="143" s="1"/>
  <c r="CW82" i="143"/>
  <c r="DB85" i="143"/>
  <c r="DE85" i="143" s="1"/>
  <c r="CX85" i="143"/>
  <c r="CZ85" i="143" s="1"/>
  <c r="CW60" i="143"/>
  <c r="CW76" i="143"/>
  <c r="CW71" i="143"/>
  <c r="CW80" i="143"/>
  <c r="CW77" i="143"/>
  <c r="CW83" i="143"/>
  <c r="CV76" i="143"/>
  <c r="CK77" i="142"/>
  <c r="CK48" i="142"/>
  <c r="CK25" i="142"/>
  <c r="CK19" i="142"/>
  <c r="CK6" i="142"/>
  <c r="CJ15" i="142"/>
  <c r="CK14" i="142"/>
  <c r="CK15" i="142"/>
  <c r="CK27" i="142"/>
  <c r="CK40" i="142"/>
  <c r="CK13" i="142"/>
  <c r="CK43" i="142"/>
  <c r="CK60" i="142"/>
  <c r="CJ18" i="142"/>
  <c r="CK18" i="142"/>
  <c r="CK58" i="142"/>
  <c r="CK16" i="142"/>
  <c r="CK45" i="142"/>
  <c r="CK71" i="142"/>
  <c r="CK22" i="142"/>
  <c r="CK29" i="142"/>
  <c r="CJ36" i="142"/>
  <c r="CJ76" i="142"/>
  <c r="CK83" i="142"/>
  <c r="CK76" i="142"/>
  <c r="CK63" i="142"/>
  <c r="CK59" i="142"/>
  <c r="CK17" i="142"/>
  <c r="CH25" i="142"/>
  <c r="CH18" i="142"/>
  <c r="CH58" i="142"/>
  <c r="CG74" i="142"/>
  <c r="CG16" i="142"/>
  <c r="CH40" i="142"/>
  <c r="CH14" i="142"/>
  <c r="CH43" i="142"/>
  <c r="CH27" i="142"/>
  <c r="CH16" i="142"/>
  <c r="CH48" i="142"/>
  <c r="CH15" i="142"/>
  <c r="CH77" i="142"/>
  <c r="CH60" i="142"/>
  <c r="CH29" i="142"/>
  <c r="CG76" i="142"/>
  <c r="CG60" i="142"/>
  <c r="CG36" i="142"/>
  <c r="CG17" i="142"/>
  <c r="DB46" i="143" l="1"/>
  <c r="DE46" i="143" s="1"/>
  <c r="CX46" i="143"/>
  <c r="CZ46" i="143" s="1"/>
  <c r="DB45" i="143"/>
  <c r="DE45" i="143" s="1"/>
  <c r="CX14" i="143"/>
  <c r="CZ14" i="143" s="1"/>
  <c r="DB39" i="143"/>
  <c r="DE39" i="143" s="1"/>
  <c r="DB16" i="143"/>
  <c r="DE16" i="143" s="1"/>
  <c r="CX60" i="143"/>
  <c r="CZ60" i="143" s="1"/>
  <c r="CX12" i="143"/>
  <c r="CZ12" i="143" s="1"/>
  <c r="DB59" i="143"/>
  <c r="DE59" i="143" s="1"/>
  <c r="CX59" i="143"/>
  <c r="CZ59" i="143" s="1"/>
  <c r="CX82" i="143"/>
  <c r="CZ82" i="143" s="1"/>
  <c r="DB82" i="143"/>
  <c r="DE82" i="143" s="1"/>
  <c r="CX48" i="143"/>
  <c r="CZ48" i="143" s="1"/>
  <c r="DB48" i="143"/>
  <c r="DE48" i="143" s="1"/>
  <c r="CX43" i="143"/>
  <c r="CZ43" i="143" s="1"/>
  <c r="DB43" i="143"/>
  <c r="DE43" i="143" s="1"/>
  <c r="CX36" i="143"/>
  <c r="CZ36" i="143" s="1"/>
  <c r="DB36" i="143"/>
  <c r="DE36" i="143" s="1"/>
  <c r="CX63" i="143"/>
  <c r="CZ63" i="143" s="1"/>
  <c r="DB63" i="143"/>
  <c r="DE63" i="143" s="1"/>
  <c r="CX58" i="143"/>
  <c r="CZ58" i="143" s="1"/>
  <c r="DB58" i="143"/>
  <c r="DE58" i="143" s="1"/>
  <c r="CX27" i="143"/>
  <c r="CZ27" i="143" s="1"/>
  <c r="DB27" i="143"/>
  <c r="DE27" i="143" s="1"/>
  <c r="CX40" i="143"/>
  <c r="CZ40" i="143" s="1"/>
  <c r="DB40" i="143"/>
  <c r="DE40" i="143" s="1"/>
  <c r="CX76" i="143"/>
  <c r="CZ76" i="143" s="1"/>
  <c r="DB76" i="143"/>
  <c r="DE76" i="143" s="1"/>
  <c r="DB77" i="143"/>
  <c r="DE77" i="143" s="1"/>
  <c r="CX77" i="143"/>
  <c r="CZ77" i="143" s="1"/>
  <c r="CX23" i="143"/>
  <c r="CZ23" i="143" s="1"/>
  <c r="DB23" i="143"/>
  <c r="DE23" i="143" s="1"/>
  <c r="DB83" i="143"/>
  <c r="DE83" i="143" s="1"/>
  <c r="CX83" i="143"/>
  <c r="CZ83" i="143" s="1"/>
  <c r="CH83" i="142"/>
  <c r="CH76" i="142"/>
  <c r="CH63" i="142"/>
  <c r="CH59" i="142"/>
  <c r="CH17" i="142"/>
  <c r="CH12" i="142"/>
  <c r="CZ94" i="143" l="1"/>
  <c r="CZ95" i="143" s="1"/>
  <c r="CB60" i="142"/>
  <c r="CB71" i="142"/>
  <c r="CB74" i="142"/>
  <c r="CB39" i="142"/>
  <c r="CB22" i="142"/>
  <c r="CB47" i="142"/>
  <c r="CB16" i="142"/>
  <c r="CB17" i="142"/>
  <c r="CB12" i="142"/>
  <c r="CB76" i="142"/>
  <c r="CA60" i="142"/>
  <c r="CB19" i="142"/>
  <c r="CB40" i="142"/>
  <c r="CB27" i="142"/>
  <c r="CB6" i="142"/>
  <c r="CB15" i="142"/>
  <c r="CB13" i="142"/>
  <c r="CB58" i="142"/>
  <c r="CB77" i="142"/>
  <c r="CB25" i="142"/>
  <c r="CB18" i="142"/>
  <c r="CB29" i="142"/>
  <c r="BY60" i="142"/>
  <c r="CA76" i="142"/>
  <c r="CA39" i="142"/>
  <c r="CA17" i="142"/>
  <c r="CA12" i="142"/>
  <c r="CB83" i="142"/>
  <c r="CB63" i="142"/>
  <c r="CB59" i="142"/>
  <c r="CB53" i="142"/>
  <c r="CB23" i="142"/>
  <c r="CB48" i="142"/>
  <c r="BY29" i="142"/>
  <c r="BY40" i="142"/>
  <c r="BY48" i="142"/>
  <c r="Q25" i="142"/>
  <c r="BY27" i="142"/>
  <c r="BY18" i="142"/>
  <c r="BY15" i="142"/>
  <c r="BY16" i="142"/>
  <c r="BY43" i="142"/>
  <c r="BX76" i="142"/>
  <c r="BX60" i="142"/>
  <c r="BX17" i="142"/>
  <c r="BY82" i="142"/>
  <c r="BY63" i="142"/>
  <c r="BY59" i="142"/>
  <c r="BY17" i="142"/>
  <c r="BY39" i="142"/>
  <c r="BV36" i="142" l="1"/>
  <c r="BV47" i="142"/>
  <c r="BV60" i="142"/>
  <c r="BV22" i="142"/>
  <c r="BV15" i="142"/>
  <c r="BV14" i="142"/>
  <c r="BV40" i="142"/>
  <c r="BV29" i="142"/>
  <c r="BV27" i="142"/>
  <c r="BV80" i="142"/>
  <c r="BV48" i="142"/>
  <c r="BV77" i="142"/>
  <c r="BV18" i="142"/>
  <c r="BV16" i="142"/>
  <c r="BV6" i="142"/>
  <c r="BV43" i="142"/>
  <c r="BV63" i="142"/>
  <c r="BV25" i="142"/>
  <c r="BV19" i="142"/>
  <c r="BP25" i="142"/>
  <c r="BU76" i="142"/>
  <c r="BU17" i="142"/>
  <c r="BV39" i="142"/>
  <c r="BV76" i="142"/>
  <c r="BV59" i="142"/>
  <c r="BV17" i="142"/>
  <c r="BV12" i="142"/>
  <c r="BV53" i="142" l="1"/>
  <c r="BV23" i="142"/>
  <c r="BP60" i="142"/>
  <c r="BP43" i="142"/>
  <c r="BP39" i="142"/>
  <c r="BP40" i="142"/>
  <c r="BP27" i="142"/>
  <c r="BP14" i="142"/>
  <c r="BP13" i="142"/>
  <c r="BP29" i="142"/>
  <c r="BP58" i="142"/>
  <c r="BP15" i="142"/>
  <c r="BP71" i="142"/>
  <c r="BP24" i="142"/>
  <c r="BP19" i="142"/>
  <c r="BP18" i="142"/>
  <c r="BP6" i="142"/>
  <c r="BP22" i="142"/>
  <c r="BP48" i="142"/>
  <c r="BP77" i="142"/>
  <c r="BP16" i="142"/>
  <c r="BP45" i="142"/>
  <c r="BO76" i="142"/>
  <c r="BO17" i="142"/>
  <c r="BP83" i="142"/>
  <c r="BP76" i="142"/>
  <c r="BP63" i="142"/>
  <c r="BP59" i="142"/>
  <c r="BP17" i="142"/>
  <c r="BP12" i="142"/>
  <c r="BP53" i="142"/>
  <c r="BL15" i="142"/>
  <c r="N48" i="142"/>
  <c r="BM48" i="142"/>
  <c r="BM27" i="142"/>
  <c r="BM43" i="142"/>
  <c r="BM22" i="142"/>
  <c r="BM23" i="142"/>
  <c r="BM14" i="142"/>
  <c r="BM60" i="142"/>
  <c r="BM40" i="142"/>
  <c r="BM16" i="142"/>
  <c r="BM58" i="142"/>
  <c r="BM6" i="142"/>
  <c r="BM39" i="142"/>
  <c r="BM15" i="142"/>
  <c r="BM77" i="142"/>
  <c r="BM18" i="142"/>
  <c r="BL76" i="142"/>
  <c r="BL39" i="142"/>
  <c r="BL17" i="142"/>
  <c r="BL16" i="142"/>
  <c r="BM83" i="142"/>
  <c r="BM76" i="142"/>
  <c r="BM63" i="142"/>
  <c r="BM59" i="142"/>
  <c r="BM17" i="142"/>
  <c r="BM12" i="142"/>
  <c r="BG39" i="142"/>
  <c r="BG36" i="142"/>
  <c r="BF17" i="142"/>
  <c r="BG40" i="142"/>
  <c r="BG27" i="142"/>
  <c r="BG25" i="142"/>
  <c r="BG15" i="142"/>
  <c r="BG48" i="142"/>
  <c r="BG14" i="142"/>
  <c r="BG60" i="142"/>
  <c r="BG18" i="142"/>
  <c r="BG6" i="142"/>
  <c r="BG77" i="142"/>
  <c r="BG58" i="142"/>
  <c r="BG45" i="142"/>
  <c r="BG13" i="142"/>
  <c r="BF76" i="142"/>
  <c r="BF39" i="142"/>
  <c r="BG83" i="142" l="1"/>
  <c r="BG76" i="142"/>
  <c r="BG63" i="142"/>
  <c r="BG59" i="142"/>
  <c r="BG17" i="142"/>
  <c r="BG16" i="142"/>
  <c r="BG12" i="142"/>
  <c r="BC19" i="142"/>
  <c r="BC17" i="142"/>
  <c r="BD40" i="142"/>
  <c r="BD27" i="142"/>
  <c r="BD16" i="142"/>
  <c r="BD14" i="142"/>
  <c r="BD77" i="142"/>
  <c r="BD43" i="142"/>
  <c r="BD15" i="142"/>
  <c r="BD48" i="142"/>
  <c r="BD29" i="142"/>
  <c r="BD25" i="142"/>
  <c r="BD18" i="142"/>
  <c r="BC76" i="142"/>
  <c r="BC46" i="142"/>
  <c r="BC45" i="142"/>
  <c r="BD83" i="142"/>
  <c r="BD76" i="142"/>
  <c r="BD63" i="142"/>
  <c r="BD59" i="142"/>
  <c r="BD17" i="142"/>
  <c r="BD39" i="142"/>
  <c r="BD12" i="142"/>
  <c r="BD60" i="142"/>
  <c r="AZ15" i="142"/>
  <c r="BA80" i="142"/>
  <c r="BA74" i="142"/>
  <c r="BA43" i="142"/>
  <c r="BA71" i="142"/>
  <c r="BA40" i="142"/>
  <c r="BA27" i="142"/>
  <c r="AZ25" i="142"/>
  <c r="AZ43" i="142"/>
  <c r="AU77" i="142"/>
  <c r="BA14" i="142"/>
  <c r="BA22" i="142"/>
  <c r="BA60" i="142"/>
  <c r="BA58" i="142"/>
  <c r="BA15" i="142"/>
  <c r="BA48" i="142"/>
  <c r="BA77" i="142"/>
  <c r="BA18" i="142"/>
  <c r="BA6" i="142"/>
  <c r="AL77" i="142"/>
  <c r="AZ76" i="142"/>
  <c r="AZ17" i="142"/>
  <c r="BA83" i="142"/>
  <c r="BA76" i="142"/>
  <c r="BA59" i="142"/>
  <c r="BA17" i="142"/>
  <c r="BA39" i="142"/>
  <c r="BA16" i="142"/>
  <c r="BA12" i="142"/>
  <c r="BA53" i="142" l="1"/>
  <c r="BA46" i="142"/>
  <c r="BA45" i="142"/>
  <c r="BA29" i="142"/>
  <c r="BA28" i="142"/>
  <c r="AU27" i="142"/>
  <c r="AU25" i="142"/>
  <c r="AU23" i="142"/>
  <c r="AU71" i="142"/>
  <c r="AU40" i="142"/>
  <c r="AU22" i="142"/>
  <c r="AU15" i="142"/>
  <c r="AU14" i="142"/>
  <c r="AU47" i="142"/>
  <c r="AU39" i="142"/>
  <c r="AU58" i="142"/>
  <c r="AU13" i="142"/>
  <c r="AU16" i="142"/>
  <c r="AU43" i="142"/>
  <c r="AU60" i="142"/>
  <c r="AU18" i="142"/>
  <c r="AU6" i="142"/>
  <c r="BA25" i="142"/>
  <c r="BA13" i="142"/>
  <c r="AT19" i="142"/>
  <c r="AT18" i="142"/>
  <c r="AT16" i="142"/>
  <c r="AU48" i="142"/>
  <c r="AU19" i="142"/>
  <c r="AU29" i="142"/>
  <c r="AT76" i="142" l="1"/>
  <c r="AT60" i="142"/>
  <c r="AT39" i="142"/>
  <c r="AT17" i="142"/>
  <c r="AU17" i="142"/>
  <c r="AK17" i="142" l="1"/>
  <c r="AU83" i="142"/>
  <c r="AU76" i="142"/>
  <c r="AU63" i="142"/>
  <c r="AU59" i="142"/>
  <c r="AU12" i="142"/>
  <c r="AR36" i="142" l="1"/>
  <c r="AR60" i="142"/>
  <c r="AR40" i="142"/>
  <c r="AR25" i="142"/>
  <c r="AR14" i="142"/>
  <c r="AR19" i="142"/>
  <c r="AR39" i="142"/>
  <c r="AR27" i="142"/>
  <c r="AR16" i="142"/>
  <c r="AR58" i="142"/>
  <c r="AR15" i="142"/>
  <c r="AR17" i="142"/>
  <c r="AR63" i="142"/>
  <c r="AR59" i="142"/>
  <c r="AL15" i="142" l="1"/>
  <c r="AL25" i="142"/>
  <c r="AL27" i="142"/>
  <c r="AL40" i="142"/>
  <c r="AL19" i="142"/>
  <c r="AL58" i="142"/>
  <c r="AL6" i="142"/>
  <c r="AL14" i="142"/>
  <c r="AL60" i="142"/>
  <c r="AL71" i="142"/>
  <c r="AL13" i="142"/>
  <c r="AL16" i="142"/>
  <c r="AL18" i="142"/>
  <c r="AR83" i="142"/>
  <c r="AR12" i="142"/>
  <c r="AL8" i="142"/>
  <c r="AK76" i="142"/>
  <c r="AK39" i="142"/>
  <c r="AL83" i="142" l="1"/>
  <c r="AL76" i="142"/>
  <c r="AL63" i="142"/>
  <c r="AL59" i="142"/>
  <c r="AL17" i="142"/>
  <c r="AL39" i="142"/>
  <c r="AL12" i="142"/>
  <c r="AL82" i="142"/>
  <c r="AL48" i="142"/>
  <c r="AI60" i="142"/>
  <c r="AI40" i="142"/>
  <c r="AI29" i="142"/>
  <c r="AI16" i="142"/>
  <c r="AI27" i="142"/>
  <c r="AI15" i="142"/>
  <c r="AH17" i="142"/>
  <c r="AI63" i="142" l="1"/>
  <c r="AI59" i="142"/>
  <c r="AI17" i="142"/>
  <c r="AI39" i="142"/>
  <c r="AI67" i="142" l="1"/>
  <c r="AI36" i="142"/>
  <c r="AI23" i="142"/>
  <c r="AI14" i="142"/>
  <c r="AF25" i="142"/>
  <c r="AF60" i="142"/>
  <c r="AF22" i="142"/>
  <c r="AF15" i="142"/>
  <c r="W71" i="142"/>
  <c r="AF71" i="142"/>
  <c r="AF40" i="142"/>
  <c r="AF14" i="142"/>
  <c r="AF29" i="142"/>
  <c r="AF27" i="142"/>
  <c r="AF80" i="142"/>
  <c r="AF16" i="142"/>
  <c r="AF77" i="142"/>
  <c r="AF18" i="142"/>
  <c r="AF6" i="142"/>
  <c r="AF63" i="142"/>
  <c r="AF83" i="142"/>
  <c r="AF59" i="142"/>
  <c r="AF39" i="142"/>
  <c r="AF17" i="142"/>
  <c r="AF12" i="142"/>
  <c r="AF13" i="142"/>
  <c r="Z40" i="142"/>
  <c r="Z25" i="142"/>
  <c r="Z23" i="142"/>
  <c r="Z6" i="142"/>
  <c r="Z16" i="142"/>
  <c r="Z19" i="142"/>
  <c r="Z27" i="142"/>
  <c r="Z29" i="142"/>
  <c r="Z18" i="142"/>
  <c r="Z60" i="142"/>
  <c r="Z39" i="142"/>
  <c r="Z43" i="142"/>
  <c r="Z45" i="142"/>
  <c r="Z77" i="142"/>
  <c r="S27" i="142"/>
  <c r="Z14" i="142"/>
  <c r="Z15" i="142"/>
  <c r="Z48" i="142"/>
  <c r="Z36" i="142"/>
  <c r="Z22" i="142"/>
  <c r="Z58" i="142"/>
  <c r="Q81" i="142"/>
  <c r="Y76" i="142"/>
  <c r="W63" i="142"/>
  <c r="W39" i="142"/>
  <c r="Z83" i="142"/>
  <c r="Z76" i="142"/>
  <c r="Z63" i="142"/>
  <c r="Z59" i="142"/>
  <c r="Z17" i="142"/>
  <c r="Z12" i="142"/>
  <c r="W40" i="142" l="1"/>
  <c r="W27" i="142"/>
  <c r="W25" i="142"/>
  <c r="W24" i="142"/>
  <c r="W43" i="142"/>
  <c r="N12" i="142"/>
  <c r="M12" i="142"/>
  <c r="W23" i="142"/>
  <c r="W14" i="142"/>
  <c r="W60" i="142"/>
  <c r="W48" i="142"/>
  <c r="W58" i="142"/>
  <c r="W15" i="142"/>
  <c r="W77" i="142"/>
  <c r="W22" i="142"/>
  <c r="W29" i="142"/>
  <c r="V25" i="142"/>
  <c r="S53" i="142"/>
  <c r="S17" i="142"/>
  <c r="W83" i="142"/>
  <c r="W76" i="142"/>
  <c r="W59" i="142"/>
  <c r="W17" i="142"/>
  <c r="W16" i="142"/>
  <c r="W12" i="142"/>
  <c r="T25" i="142" l="1"/>
  <c r="T40" i="142"/>
  <c r="T27" i="142"/>
  <c r="T14" i="142"/>
  <c r="T16" i="142"/>
  <c r="T6" i="142"/>
  <c r="T39" i="142"/>
  <c r="T36" i="142"/>
  <c r="T15" i="142"/>
  <c r="Q12" i="142"/>
  <c r="S12" i="142"/>
  <c r="T18" i="142"/>
  <c r="T77" i="142"/>
  <c r="T60" i="142"/>
  <c r="T58" i="142"/>
  <c r="T24" i="142"/>
  <c r="T74" i="142"/>
  <c r="M77" i="142"/>
  <c r="T13" i="142"/>
  <c r="Q82" i="142"/>
  <c r="Q83" i="142"/>
  <c r="Q76" i="142"/>
  <c r="Q63" i="142"/>
  <c r="Q59" i="142"/>
  <c r="Q17" i="142"/>
  <c r="Q39" i="142"/>
  <c r="Q16" i="142"/>
  <c r="Q15" i="142"/>
  <c r="Q53" i="142"/>
  <c r="Q29" i="142"/>
  <c r="Q14" i="142"/>
  <c r="N27" i="142"/>
  <c r="Q27" i="142"/>
  <c r="N77" i="142"/>
  <c r="N63" i="142" l="1"/>
  <c r="M16" i="142"/>
  <c r="Q36" i="142"/>
  <c r="Q23" i="142"/>
  <c r="N40" i="142"/>
  <c r="N16" i="142"/>
  <c r="N14" i="142"/>
  <c r="N22" i="142"/>
  <c r="N18" i="142"/>
  <c r="N6" i="142"/>
  <c r="Q13" i="142"/>
  <c r="Q48" i="142"/>
  <c r="Q40" i="142"/>
  <c r="Q6" i="142"/>
  <c r="N39" i="142"/>
  <c r="N59" i="142"/>
  <c r="N17" i="142"/>
  <c r="M39" i="142" l="1"/>
  <c r="N82" i="142"/>
  <c r="S36" i="142" l="1"/>
  <c r="CW93" i="142" l="1"/>
  <c r="CV93" i="142"/>
  <c r="I93" i="142"/>
  <c r="L93" i="142" s="1"/>
  <c r="O93" i="142" s="1"/>
  <c r="R93" i="142" s="1"/>
  <c r="U93" i="142" s="1"/>
  <c r="X93" i="142" s="1"/>
  <c r="AA93" i="142" s="1"/>
  <c r="AD93" i="142" s="1"/>
  <c r="AG93" i="142" s="1"/>
  <c r="AJ93" i="142" s="1"/>
  <c r="AM93" i="142" s="1"/>
  <c r="AP93" i="142" s="1"/>
  <c r="AS93" i="142" s="1"/>
  <c r="AV93" i="142" s="1"/>
  <c r="AY93" i="142" s="1"/>
  <c r="BB93" i="142" s="1"/>
  <c r="BE93" i="142" s="1"/>
  <c r="BH93" i="142" s="1"/>
  <c r="BK93" i="142" s="1"/>
  <c r="BN93" i="142" s="1"/>
  <c r="BQ93" i="142" s="1"/>
  <c r="BT93" i="142" s="1"/>
  <c r="BW93" i="142" s="1"/>
  <c r="BZ93" i="142" s="1"/>
  <c r="CC93" i="142" s="1"/>
  <c r="CF93" i="142" s="1"/>
  <c r="CI93" i="142" s="1"/>
  <c r="CL93" i="142" s="1"/>
  <c r="CO93" i="142" s="1"/>
  <c r="CR93" i="142" s="1"/>
  <c r="CU93" i="142" s="1"/>
  <c r="CW92" i="142"/>
  <c r="CV92" i="142"/>
  <c r="I92" i="142"/>
  <c r="L92" i="142" s="1"/>
  <c r="O92" i="142" s="1"/>
  <c r="R92" i="142" s="1"/>
  <c r="U92" i="142" s="1"/>
  <c r="X92" i="142" s="1"/>
  <c r="AA92" i="142" s="1"/>
  <c r="AD92" i="142" s="1"/>
  <c r="AG92" i="142" s="1"/>
  <c r="AJ92" i="142" s="1"/>
  <c r="AM92" i="142" s="1"/>
  <c r="AP92" i="142" s="1"/>
  <c r="AS92" i="142" s="1"/>
  <c r="AV92" i="142" s="1"/>
  <c r="AY92" i="142" s="1"/>
  <c r="BB92" i="142" s="1"/>
  <c r="BE92" i="142" s="1"/>
  <c r="BH92" i="142" s="1"/>
  <c r="BK92" i="142" s="1"/>
  <c r="BN92" i="142" s="1"/>
  <c r="BQ92" i="142" s="1"/>
  <c r="BT92" i="142" s="1"/>
  <c r="BW92" i="142" s="1"/>
  <c r="BZ92" i="142" s="1"/>
  <c r="CC92" i="142" s="1"/>
  <c r="CF92" i="142" s="1"/>
  <c r="CI92" i="142" s="1"/>
  <c r="CL92" i="142" s="1"/>
  <c r="CO92" i="142" s="1"/>
  <c r="CR92" i="142" s="1"/>
  <c r="CU92" i="142" s="1"/>
  <c r="CW91" i="142"/>
  <c r="CV91" i="142"/>
  <c r="I91" i="142"/>
  <c r="L91" i="142" s="1"/>
  <c r="O91" i="142" s="1"/>
  <c r="R91" i="142" s="1"/>
  <c r="U91" i="142" s="1"/>
  <c r="X91" i="142" s="1"/>
  <c r="AA91" i="142" s="1"/>
  <c r="AD91" i="142" s="1"/>
  <c r="AG91" i="142" s="1"/>
  <c r="AJ91" i="142" s="1"/>
  <c r="AM91" i="142" s="1"/>
  <c r="AP91" i="142" s="1"/>
  <c r="AS91" i="142" s="1"/>
  <c r="AV91" i="142" s="1"/>
  <c r="AY91" i="142" s="1"/>
  <c r="BB91" i="142" s="1"/>
  <c r="BE91" i="142" s="1"/>
  <c r="BH91" i="142" s="1"/>
  <c r="BK91" i="142" s="1"/>
  <c r="BN91" i="142" s="1"/>
  <c r="BQ91" i="142" s="1"/>
  <c r="BT91" i="142" s="1"/>
  <c r="BW91" i="142" s="1"/>
  <c r="BZ91" i="142" s="1"/>
  <c r="CC91" i="142" s="1"/>
  <c r="CF91" i="142" s="1"/>
  <c r="CI91" i="142" s="1"/>
  <c r="CL91" i="142" s="1"/>
  <c r="CO91" i="142" s="1"/>
  <c r="CR91" i="142" s="1"/>
  <c r="CU91" i="142" s="1"/>
  <c r="CW90" i="142"/>
  <c r="CV90" i="142"/>
  <c r="I90" i="142"/>
  <c r="L90" i="142" s="1"/>
  <c r="O90" i="142" s="1"/>
  <c r="R90" i="142" s="1"/>
  <c r="U90" i="142" s="1"/>
  <c r="X90" i="142" s="1"/>
  <c r="AA90" i="142" s="1"/>
  <c r="AD90" i="142" s="1"/>
  <c r="AG90" i="142" s="1"/>
  <c r="AJ90" i="142" s="1"/>
  <c r="AM90" i="142" s="1"/>
  <c r="AP90" i="142" s="1"/>
  <c r="AS90" i="142" s="1"/>
  <c r="AV90" i="142" s="1"/>
  <c r="AY90" i="142" s="1"/>
  <c r="BB90" i="142" s="1"/>
  <c r="BE90" i="142" s="1"/>
  <c r="BH90" i="142" s="1"/>
  <c r="BK90" i="142" s="1"/>
  <c r="BN90" i="142" s="1"/>
  <c r="BQ90" i="142" s="1"/>
  <c r="BT90" i="142" s="1"/>
  <c r="BW90" i="142" s="1"/>
  <c r="BZ90" i="142" s="1"/>
  <c r="CC90" i="142" s="1"/>
  <c r="CF90" i="142" s="1"/>
  <c r="CI90" i="142" s="1"/>
  <c r="CL90" i="142" s="1"/>
  <c r="CO90" i="142" s="1"/>
  <c r="CR90" i="142" s="1"/>
  <c r="CU90" i="142" s="1"/>
  <c r="CW89" i="142"/>
  <c r="CV89" i="142"/>
  <c r="I89" i="142"/>
  <c r="L89" i="142" s="1"/>
  <c r="O89" i="142" s="1"/>
  <c r="R89" i="142" s="1"/>
  <c r="U89" i="142" s="1"/>
  <c r="X89" i="142" s="1"/>
  <c r="AA89" i="142" s="1"/>
  <c r="AD89" i="142" s="1"/>
  <c r="AG89" i="142" s="1"/>
  <c r="AJ89" i="142" s="1"/>
  <c r="AM89" i="142" s="1"/>
  <c r="AP89" i="142" s="1"/>
  <c r="AS89" i="142" s="1"/>
  <c r="AV89" i="142" s="1"/>
  <c r="AY89" i="142" s="1"/>
  <c r="BB89" i="142" s="1"/>
  <c r="BE89" i="142" s="1"/>
  <c r="BH89" i="142" s="1"/>
  <c r="BK89" i="142" s="1"/>
  <c r="BN89" i="142" s="1"/>
  <c r="BQ89" i="142" s="1"/>
  <c r="BT89" i="142" s="1"/>
  <c r="BW89" i="142" s="1"/>
  <c r="BZ89" i="142" s="1"/>
  <c r="CC89" i="142" s="1"/>
  <c r="CF89" i="142" s="1"/>
  <c r="CI89" i="142" s="1"/>
  <c r="CL89" i="142" s="1"/>
  <c r="CO89" i="142" s="1"/>
  <c r="CR89" i="142" s="1"/>
  <c r="CU89" i="142" s="1"/>
  <c r="CW88" i="142"/>
  <c r="CV88" i="142"/>
  <c r="I88" i="142"/>
  <c r="L88" i="142" s="1"/>
  <c r="O88" i="142" s="1"/>
  <c r="R88" i="142" s="1"/>
  <c r="U88" i="142" s="1"/>
  <c r="X88" i="142" s="1"/>
  <c r="AA88" i="142" s="1"/>
  <c r="AD88" i="142" s="1"/>
  <c r="AG88" i="142" s="1"/>
  <c r="AJ88" i="142" s="1"/>
  <c r="AM88" i="142" s="1"/>
  <c r="AP88" i="142" s="1"/>
  <c r="AS88" i="142" s="1"/>
  <c r="AV88" i="142" s="1"/>
  <c r="AY88" i="142" s="1"/>
  <c r="BB88" i="142" s="1"/>
  <c r="BE88" i="142" s="1"/>
  <c r="BH88" i="142" s="1"/>
  <c r="BK88" i="142" s="1"/>
  <c r="BN88" i="142" s="1"/>
  <c r="BQ88" i="142" s="1"/>
  <c r="BT88" i="142" s="1"/>
  <c r="BW88" i="142" s="1"/>
  <c r="BZ88" i="142" s="1"/>
  <c r="CC88" i="142" s="1"/>
  <c r="CF88" i="142" s="1"/>
  <c r="CI88" i="142" s="1"/>
  <c r="CL88" i="142" s="1"/>
  <c r="CO88" i="142" s="1"/>
  <c r="CR88" i="142" s="1"/>
  <c r="CU88" i="142" s="1"/>
  <c r="CW87" i="142"/>
  <c r="CV87" i="142"/>
  <c r="I87" i="142"/>
  <c r="L87" i="142" s="1"/>
  <c r="O87" i="142" s="1"/>
  <c r="R87" i="142" s="1"/>
  <c r="U87" i="142" s="1"/>
  <c r="X87" i="142" s="1"/>
  <c r="AA87" i="142" s="1"/>
  <c r="AD87" i="142" s="1"/>
  <c r="AG87" i="142" s="1"/>
  <c r="AJ87" i="142" s="1"/>
  <c r="AM87" i="142" s="1"/>
  <c r="AP87" i="142" s="1"/>
  <c r="AS87" i="142" s="1"/>
  <c r="AV87" i="142" s="1"/>
  <c r="AY87" i="142" s="1"/>
  <c r="BB87" i="142" s="1"/>
  <c r="BE87" i="142" s="1"/>
  <c r="BH87" i="142" s="1"/>
  <c r="BK87" i="142" s="1"/>
  <c r="BN87" i="142" s="1"/>
  <c r="BQ87" i="142" s="1"/>
  <c r="BT87" i="142" s="1"/>
  <c r="BW87" i="142" s="1"/>
  <c r="BZ87" i="142" s="1"/>
  <c r="CC87" i="142" s="1"/>
  <c r="CF87" i="142" s="1"/>
  <c r="CI87" i="142" s="1"/>
  <c r="CL87" i="142" s="1"/>
  <c r="CO87" i="142" s="1"/>
  <c r="CR87" i="142" s="1"/>
  <c r="CU87" i="142" s="1"/>
  <c r="CW86" i="142"/>
  <c r="CV86" i="142"/>
  <c r="I86" i="142"/>
  <c r="L86" i="142" s="1"/>
  <c r="O86" i="142" s="1"/>
  <c r="R86" i="142" s="1"/>
  <c r="U86" i="142" s="1"/>
  <c r="X86" i="142" s="1"/>
  <c r="AA86" i="142" s="1"/>
  <c r="AD86" i="142" s="1"/>
  <c r="AG86" i="142" s="1"/>
  <c r="AJ86" i="142" s="1"/>
  <c r="AM86" i="142" s="1"/>
  <c r="AP86" i="142" s="1"/>
  <c r="AS86" i="142" s="1"/>
  <c r="AV86" i="142" s="1"/>
  <c r="AY86" i="142" s="1"/>
  <c r="BB86" i="142" s="1"/>
  <c r="BE86" i="142" s="1"/>
  <c r="BH86" i="142" s="1"/>
  <c r="BK86" i="142" s="1"/>
  <c r="BN86" i="142" s="1"/>
  <c r="BQ86" i="142" s="1"/>
  <c r="BT86" i="142" s="1"/>
  <c r="BW86" i="142" s="1"/>
  <c r="BZ86" i="142" s="1"/>
  <c r="CC86" i="142" s="1"/>
  <c r="CF86" i="142" s="1"/>
  <c r="CI86" i="142" s="1"/>
  <c r="CL86" i="142" s="1"/>
  <c r="CO86" i="142" s="1"/>
  <c r="CR86" i="142" s="1"/>
  <c r="CU86" i="142" s="1"/>
  <c r="CW85" i="142"/>
  <c r="CV85" i="142"/>
  <c r="I85" i="142"/>
  <c r="L85" i="142" s="1"/>
  <c r="O85" i="142" s="1"/>
  <c r="R85" i="142" s="1"/>
  <c r="U85" i="142" s="1"/>
  <c r="X85" i="142" s="1"/>
  <c r="AA85" i="142" s="1"/>
  <c r="AD85" i="142" s="1"/>
  <c r="AG85" i="142" s="1"/>
  <c r="AJ85" i="142" s="1"/>
  <c r="AM85" i="142" s="1"/>
  <c r="AP85" i="142" s="1"/>
  <c r="AS85" i="142" s="1"/>
  <c r="AV85" i="142" s="1"/>
  <c r="AY85" i="142" s="1"/>
  <c r="BB85" i="142" s="1"/>
  <c r="BE85" i="142" s="1"/>
  <c r="BH85" i="142" s="1"/>
  <c r="BK85" i="142" s="1"/>
  <c r="BN85" i="142" s="1"/>
  <c r="BQ85" i="142" s="1"/>
  <c r="BT85" i="142" s="1"/>
  <c r="BW85" i="142" s="1"/>
  <c r="BZ85" i="142" s="1"/>
  <c r="CC85" i="142" s="1"/>
  <c r="CF85" i="142" s="1"/>
  <c r="CI85" i="142" s="1"/>
  <c r="CL85" i="142" s="1"/>
  <c r="CO85" i="142" s="1"/>
  <c r="CR85" i="142" s="1"/>
  <c r="CU85" i="142" s="1"/>
  <c r="CW84" i="142"/>
  <c r="CV84" i="142"/>
  <c r="I84" i="142"/>
  <c r="L84" i="142" s="1"/>
  <c r="O84" i="142" s="1"/>
  <c r="R84" i="142" s="1"/>
  <c r="U84" i="142" s="1"/>
  <c r="X84" i="142" s="1"/>
  <c r="AA84" i="142" s="1"/>
  <c r="AD84" i="142" s="1"/>
  <c r="AG84" i="142" s="1"/>
  <c r="AJ84" i="142" s="1"/>
  <c r="AM84" i="142" s="1"/>
  <c r="AP84" i="142" s="1"/>
  <c r="AS84" i="142" s="1"/>
  <c r="AV84" i="142" s="1"/>
  <c r="AY84" i="142" s="1"/>
  <c r="BB84" i="142" s="1"/>
  <c r="BE84" i="142" s="1"/>
  <c r="BH84" i="142" s="1"/>
  <c r="BK84" i="142" s="1"/>
  <c r="BN84" i="142" s="1"/>
  <c r="BQ84" i="142" s="1"/>
  <c r="BT84" i="142" s="1"/>
  <c r="BW84" i="142" s="1"/>
  <c r="BZ84" i="142" s="1"/>
  <c r="CC84" i="142" s="1"/>
  <c r="CF84" i="142" s="1"/>
  <c r="CI84" i="142" s="1"/>
  <c r="CL84" i="142" s="1"/>
  <c r="CO84" i="142" s="1"/>
  <c r="CR84" i="142" s="1"/>
  <c r="CU84" i="142" s="1"/>
  <c r="CV83" i="142"/>
  <c r="I83" i="142"/>
  <c r="CV82" i="142"/>
  <c r="CW82" i="142"/>
  <c r="I82" i="142"/>
  <c r="L82" i="142" s="1"/>
  <c r="O82" i="142" s="1"/>
  <c r="R82" i="142" s="1"/>
  <c r="U82" i="142" s="1"/>
  <c r="X82" i="142" s="1"/>
  <c r="AA82" i="142" s="1"/>
  <c r="AD82" i="142" s="1"/>
  <c r="AG82" i="142" s="1"/>
  <c r="AJ82" i="142" s="1"/>
  <c r="AM82" i="142" s="1"/>
  <c r="AP82" i="142" s="1"/>
  <c r="AS82" i="142" s="1"/>
  <c r="AV82" i="142" s="1"/>
  <c r="AY82" i="142" s="1"/>
  <c r="BB82" i="142" s="1"/>
  <c r="BE82" i="142" s="1"/>
  <c r="BH82" i="142" s="1"/>
  <c r="BK82" i="142" s="1"/>
  <c r="BN82" i="142" s="1"/>
  <c r="BQ82" i="142" s="1"/>
  <c r="BT82" i="142" s="1"/>
  <c r="BW82" i="142" s="1"/>
  <c r="BZ82" i="142" s="1"/>
  <c r="CC82" i="142" s="1"/>
  <c r="CF82" i="142" s="1"/>
  <c r="CI82" i="142" s="1"/>
  <c r="CL82" i="142" s="1"/>
  <c r="CO82" i="142" s="1"/>
  <c r="CR82" i="142" s="1"/>
  <c r="CU82" i="142" s="1"/>
  <c r="CW81" i="142"/>
  <c r="CV81" i="142"/>
  <c r="I81" i="142"/>
  <c r="L81" i="142" s="1"/>
  <c r="O81" i="142" s="1"/>
  <c r="R81" i="142" s="1"/>
  <c r="U81" i="142" s="1"/>
  <c r="X81" i="142" s="1"/>
  <c r="AA81" i="142" s="1"/>
  <c r="AD81" i="142" s="1"/>
  <c r="AG81" i="142" s="1"/>
  <c r="AJ81" i="142" s="1"/>
  <c r="AM81" i="142" s="1"/>
  <c r="AP81" i="142" s="1"/>
  <c r="AS81" i="142" s="1"/>
  <c r="AV81" i="142" s="1"/>
  <c r="AY81" i="142" s="1"/>
  <c r="BB81" i="142" s="1"/>
  <c r="BE81" i="142" s="1"/>
  <c r="BH81" i="142" s="1"/>
  <c r="BK81" i="142" s="1"/>
  <c r="BN81" i="142" s="1"/>
  <c r="BQ81" i="142" s="1"/>
  <c r="BT81" i="142" s="1"/>
  <c r="BW81" i="142" s="1"/>
  <c r="BZ81" i="142" s="1"/>
  <c r="CC81" i="142" s="1"/>
  <c r="CF81" i="142" s="1"/>
  <c r="CI81" i="142" s="1"/>
  <c r="CL81" i="142" s="1"/>
  <c r="CO81" i="142" s="1"/>
  <c r="CR81" i="142" s="1"/>
  <c r="CU81" i="142" s="1"/>
  <c r="CV80" i="142"/>
  <c r="CW80" i="142"/>
  <c r="I80" i="142"/>
  <c r="L80" i="142" s="1"/>
  <c r="O80" i="142" s="1"/>
  <c r="R80" i="142" s="1"/>
  <c r="U80" i="142" s="1"/>
  <c r="X80" i="142" s="1"/>
  <c r="AA80" i="142" s="1"/>
  <c r="AD80" i="142" s="1"/>
  <c r="AG80" i="142" s="1"/>
  <c r="AJ80" i="142" s="1"/>
  <c r="AM80" i="142" s="1"/>
  <c r="AP80" i="142" s="1"/>
  <c r="AS80" i="142" s="1"/>
  <c r="AV80" i="142" s="1"/>
  <c r="AY80" i="142" s="1"/>
  <c r="BB80" i="142" s="1"/>
  <c r="BE80" i="142" s="1"/>
  <c r="BH80" i="142" s="1"/>
  <c r="BK80" i="142" s="1"/>
  <c r="BN80" i="142" s="1"/>
  <c r="BQ80" i="142" s="1"/>
  <c r="BT80" i="142" s="1"/>
  <c r="BW80" i="142" s="1"/>
  <c r="BZ80" i="142" s="1"/>
  <c r="CC80" i="142" s="1"/>
  <c r="CF80" i="142" s="1"/>
  <c r="CI80" i="142" s="1"/>
  <c r="CL80" i="142" s="1"/>
  <c r="CO80" i="142" s="1"/>
  <c r="CR80" i="142" s="1"/>
  <c r="CU80" i="142" s="1"/>
  <c r="CW79" i="142"/>
  <c r="CV79" i="142"/>
  <c r="I79" i="142"/>
  <c r="L79" i="142" s="1"/>
  <c r="O79" i="142" s="1"/>
  <c r="R79" i="142" s="1"/>
  <c r="U79" i="142" s="1"/>
  <c r="X79" i="142" s="1"/>
  <c r="AA79" i="142" s="1"/>
  <c r="AD79" i="142" s="1"/>
  <c r="AG79" i="142" s="1"/>
  <c r="AJ79" i="142" s="1"/>
  <c r="AM79" i="142" s="1"/>
  <c r="AP79" i="142" s="1"/>
  <c r="AS79" i="142" s="1"/>
  <c r="AV79" i="142" s="1"/>
  <c r="AY79" i="142" s="1"/>
  <c r="BB79" i="142" s="1"/>
  <c r="BE79" i="142" s="1"/>
  <c r="BH79" i="142" s="1"/>
  <c r="BK79" i="142" s="1"/>
  <c r="BN79" i="142" s="1"/>
  <c r="BQ79" i="142" s="1"/>
  <c r="BT79" i="142" s="1"/>
  <c r="BW79" i="142" s="1"/>
  <c r="BZ79" i="142" s="1"/>
  <c r="CC79" i="142" s="1"/>
  <c r="CF79" i="142" s="1"/>
  <c r="CI79" i="142" s="1"/>
  <c r="CL79" i="142" s="1"/>
  <c r="CO79" i="142" s="1"/>
  <c r="CR79" i="142" s="1"/>
  <c r="CU79" i="142" s="1"/>
  <c r="CZ78" i="142"/>
  <c r="CW78" i="142"/>
  <c r="CV78" i="142"/>
  <c r="I78" i="142"/>
  <c r="L78" i="142" s="1"/>
  <c r="O78" i="142" s="1"/>
  <c r="R78" i="142" s="1"/>
  <c r="U78" i="142" s="1"/>
  <c r="X78" i="142" s="1"/>
  <c r="AA78" i="142" s="1"/>
  <c r="AD78" i="142" s="1"/>
  <c r="AG78" i="142" s="1"/>
  <c r="AJ78" i="142" s="1"/>
  <c r="AM78" i="142" s="1"/>
  <c r="AP78" i="142" s="1"/>
  <c r="AS78" i="142" s="1"/>
  <c r="AV78" i="142" s="1"/>
  <c r="AY78" i="142" s="1"/>
  <c r="BB78" i="142" s="1"/>
  <c r="BE78" i="142" s="1"/>
  <c r="BH78" i="142" s="1"/>
  <c r="BK78" i="142" s="1"/>
  <c r="BN78" i="142" s="1"/>
  <c r="BQ78" i="142" s="1"/>
  <c r="BT78" i="142" s="1"/>
  <c r="BW78" i="142" s="1"/>
  <c r="BZ78" i="142" s="1"/>
  <c r="CC78" i="142" s="1"/>
  <c r="CF78" i="142" s="1"/>
  <c r="CI78" i="142" s="1"/>
  <c r="CL78" i="142" s="1"/>
  <c r="CO78" i="142" s="1"/>
  <c r="CR78" i="142" s="1"/>
  <c r="CU78" i="142" s="1"/>
  <c r="DB78" i="142" s="1"/>
  <c r="DE78" i="142" s="1"/>
  <c r="CV77" i="142"/>
  <c r="I77" i="142"/>
  <c r="CW76" i="142"/>
  <c r="I76" i="142"/>
  <c r="CW75" i="142"/>
  <c r="CV75" i="142"/>
  <c r="I75" i="142"/>
  <c r="L75" i="142" s="1"/>
  <c r="O75" i="142" s="1"/>
  <c r="R75" i="142" s="1"/>
  <c r="U75" i="142" s="1"/>
  <c r="X75" i="142" s="1"/>
  <c r="AA75" i="142" s="1"/>
  <c r="AD75" i="142" s="1"/>
  <c r="AG75" i="142" s="1"/>
  <c r="AJ75" i="142" s="1"/>
  <c r="AM75" i="142" s="1"/>
  <c r="AP75" i="142" s="1"/>
  <c r="AS75" i="142" s="1"/>
  <c r="AV75" i="142" s="1"/>
  <c r="AY75" i="142" s="1"/>
  <c r="BB75" i="142" s="1"/>
  <c r="BE75" i="142" s="1"/>
  <c r="BH75" i="142" s="1"/>
  <c r="BK75" i="142" s="1"/>
  <c r="BN75" i="142" s="1"/>
  <c r="BQ75" i="142" s="1"/>
  <c r="BT75" i="142" s="1"/>
  <c r="BW75" i="142" s="1"/>
  <c r="BZ75" i="142" s="1"/>
  <c r="CC75" i="142" s="1"/>
  <c r="CF75" i="142" s="1"/>
  <c r="CI75" i="142" s="1"/>
  <c r="CL75" i="142" s="1"/>
  <c r="CO75" i="142" s="1"/>
  <c r="CR75" i="142" s="1"/>
  <c r="CU75" i="142" s="1"/>
  <c r="CV74" i="142"/>
  <c r="CW74" i="142"/>
  <c r="I74" i="142"/>
  <c r="L74" i="142" s="1"/>
  <c r="O74" i="142" s="1"/>
  <c r="R74" i="142" s="1"/>
  <c r="U74" i="142" s="1"/>
  <c r="X74" i="142" s="1"/>
  <c r="AA74" i="142" s="1"/>
  <c r="AD74" i="142" s="1"/>
  <c r="AG74" i="142" s="1"/>
  <c r="AJ74" i="142" s="1"/>
  <c r="AM74" i="142" s="1"/>
  <c r="AP74" i="142" s="1"/>
  <c r="AS74" i="142" s="1"/>
  <c r="AV74" i="142" s="1"/>
  <c r="AY74" i="142" s="1"/>
  <c r="BB74" i="142" s="1"/>
  <c r="BE74" i="142" s="1"/>
  <c r="BH74" i="142" s="1"/>
  <c r="BK74" i="142" s="1"/>
  <c r="BN74" i="142" s="1"/>
  <c r="BQ74" i="142" s="1"/>
  <c r="BT74" i="142" s="1"/>
  <c r="BW74" i="142" s="1"/>
  <c r="BZ74" i="142" s="1"/>
  <c r="CC74" i="142" s="1"/>
  <c r="CF74" i="142" s="1"/>
  <c r="CI74" i="142" s="1"/>
  <c r="CL74" i="142" s="1"/>
  <c r="CO74" i="142" s="1"/>
  <c r="CR74" i="142" s="1"/>
  <c r="CU74" i="142" s="1"/>
  <c r="CW73" i="142"/>
  <c r="CV73" i="142"/>
  <c r="I73" i="142"/>
  <c r="L73" i="142" s="1"/>
  <c r="O73" i="142" s="1"/>
  <c r="R73" i="142" s="1"/>
  <c r="U73" i="142" s="1"/>
  <c r="X73" i="142" s="1"/>
  <c r="AA73" i="142" s="1"/>
  <c r="AD73" i="142" s="1"/>
  <c r="AG73" i="142" s="1"/>
  <c r="AJ73" i="142" s="1"/>
  <c r="AM73" i="142" s="1"/>
  <c r="AP73" i="142" s="1"/>
  <c r="AS73" i="142" s="1"/>
  <c r="AV73" i="142" s="1"/>
  <c r="AY73" i="142" s="1"/>
  <c r="BB73" i="142" s="1"/>
  <c r="BE73" i="142" s="1"/>
  <c r="BH73" i="142" s="1"/>
  <c r="BK73" i="142" s="1"/>
  <c r="BN73" i="142" s="1"/>
  <c r="BQ73" i="142" s="1"/>
  <c r="BT73" i="142" s="1"/>
  <c r="BW73" i="142" s="1"/>
  <c r="BZ73" i="142" s="1"/>
  <c r="CC73" i="142" s="1"/>
  <c r="CF73" i="142" s="1"/>
  <c r="CI73" i="142" s="1"/>
  <c r="CL73" i="142" s="1"/>
  <c r="CO73" i="142" s="1"/>
  <c r="CR73" i="142" s="1"/>
  <c r="CU73" i="142" s="1"/>
  <c r="CW72" i="142"/>
  <c r="CV72" i="142"/>
  <c r="I72" i="142"/>
  <c r="L72" i="142" s="1"/>
  <c r="O72" i="142" s="1"/>
  <c r="R72" i="142" s="1"/>
  <c r="U72" i="142" s="1"/>
  <c r="X72" i="142" s="1"/>
  <c r="AA72" i="142" s="1"/>
  <c r="AD72" i="142" s="1"/>
  <c r="AG72" i="142" s="1"/>
  <c r="AJ72" i="142" s="1"/>
  <c r="AM72" i="142" s="1"/>
  <c r="AP72" i="142" s="1"/>
  <c r="AS72" i="142" s="1"/>
  <c r="AV72" i="142" s="1"/>
  <c r="AY72" i="142" s="1"/>
  <c r="BB72" i="142" s="1"/>
  <c r="BE72" i="142" s="1"/>
  <c r="BH72" i="142" s="1"/>
  <c r="BK72" i="142" s="1"/>
  <c r="BN72" i="142" s="1"/>
  <c r="BQ72" i="142" s="1"/>
  <c r="BT72" i="142" s="1"/>
  <c r="BW72" i="142" s="1"/>
  <c r="BZ72" i="142" s="1"/>
  <c r="CC72" i="142" s="1"/>
  <c r="CF72" i="142" s="1"/>
  <c r="CI72" i="142" s="1"/>
  <c r="CL72" i="142" s="1"/>
  <c r="CO72" i="142" s="1"/>
  <c r="CR72" i="142" s="1"/>
  <c r="CU72" i="142" s="1"/>
  <c r="CV71" i="142"/>
  <c r="CW71" i="142"/>
  <c r="I71" i="142"/>
  <c r="L71" i="142" s="1"/>
  <c r="O71" i="142" s="1"/>
  <c r="R71" i="142" s="1"/>
  <c r="U71" i="142" s="1"/>
  <c r="X71" i="142" s="1"/>
  <c r="AA71" i="142" s="1"/>
  <c r="AD71" i="142" s="1"/>
  <c r="AG71" i="142" s="1"/>
  <c r="AJ71" i="142" s="1"/>
  <c r="AM71" i="142" s="1"/>
  <c r="AP71" i="142" s="1"/>
  <c r="AS71" i="142" s="1"/>
  <c r="AV71" i="142" s="1"/>
  <c r="AY71" i="142" s="1"/>
  <c r="BB71" i="142" s="1"/>
  <c r="BE71" i="142" s="1"/>
  <c r="BH71" i="142" s="1"/>
  <c r="BK71" i="142" s="1"/>
  <c r="BN71" i="142" s="1"/>
  <c r="BQ71" i="142" s="1"/>
  <c r="BT71" i="142" s="1"/>
  <c r="BW71" i="142" s="1"/>
  <c r="BZ71" i="142" s="1"/>
  <c r="CC71" i="142" s="1"/>
  <c r="CF71" i="142" s="1"/>
  <c r="CI71" i="142" s="1"/>
  <c r="CL71" i="142" s="1"/>
  <c r="CO71" i="142" s="1"/>
  <c r="CR71" i="142" s="1"/>
  <c r="CU71" i="142" s="1"/>
  <c r="CW70" i="142"/>
  <c r="CV70" i="142"/>
  <c r="I70" i="142"/>
  <c r="L70" i="142" s="1"/>
  <c r="O70" i="142" s="1"/>
  <c r="R70" i="142" s="1"/>
  <c r="U70" i="142" s="1"/>
  <c r="X70" i="142" s="1"/>
  <c r="AA70" i="142" s="1"/>
  <c r="AD70" i="142" s="1"/>
  <c r="AG70" i="142" s="1"/>
  <c r="AJ70" i="142" s="1"/>
  <c r="AM70" i="142" s="1"/>
  <c r="AP70" i="142" s="1"/>
  <c r="AS70" i="142" s="1"/>
  <c r="AV70" i="142" s="1"/>
  <c r="AY70" i="142" s="1"/>
  <c r="BB70" i="142" s="1"/>
  <c r="BE70" i="142" s="1"/>
  <c r="BH70" i="142" s="1"/>
  <c r="BK70" i="142" s="1"/>
  <c r="BN70" i="142" s="1"/>
  <c r="BQ70" i="142" s="1"/>
  <c r="BT70" i="142" s="1"/>
  <c r="BW70" i="142" s="1"/>
  <c r="BZ70" i="142" s="1"/>
  <c r="CC70" i="142" s="1"/>
  <c r="CF70" i="142" s="1"/>
  <c r="CI70" i="142" s="1"/>
  <c r="CL70" i="142" s="1"/>
  <c r="CO70" i="142" s="1"/>
  <c r="CR70" i="142" s="1"/>
  <c r="CU70" i="142" s="1"/>
  <c r="CW69" i="142"/>
  <c r="CV69" i="142"/>
  <c r="I69" i="142"/>
  <c r="L69" i="142" s="1"/>
  <c r="O69" i="142" s="1"/>
  <c r="R69" i="142" s="1"/>
  <c r="U69" i="142" s="1"/>
  <c r="X69" i="142" s="1"/>
  <c r="AA69" i="142" s="1"/>
  <c r="AD69" i="142" s="1"/>
  <c r="AG69" i="142" s="1"/>
  <c r="AJ69" i="142" s="1"/>
  <c r="AM69" i="142" s="1"/>
  <c r="AP69" i="142" s="1"/>
  <c r="AS69" i="142" s="1"/>
  <c r="AV69" i="142" s="1"/>
  <c r="AY69" i="142" s="1"/>
  <c r="BB69" i="142" s="1"/>
  <c r="BE69" i="142" s="1"/>
  <c r="BH69" i="142" s="1"/>
  <c r="BK69" i="142" s="1"/>
  <c r="BN69" i="142" s="1"/>
  <c r="BQ69" i="142" s="1"/>
  <c r="BT69" i="142" s="1"/>
  <c r="BW69" i="142" s="1"/>
  <c r="BZ69" i="142" s="1"/>
  <c r="CC69" i="142" s="1"/>
  <c r="CF69" i="142" s="1"/>
  <c r="CI69" i="142" s="1"/>
  <c r="CL69" i="142" s="1"/>
  <c r="CO69" i="142" s="1"/>
  <c r="CR69" i="142" s="1"/>
  <c r="CU69" i="142" s="1"/>
  <c r="CW68" i="142"/>
  <c r="CV68" i="142"/>
  <c r="I68" i="142"/>
  <c r="L68" i="142" s="1"/>
  <c r="O68" i="142" s="1"/>
  <c r="R68" i="142" s="1"/>
  <c r="U68" i="142" s="1"/>
  <c r="X68" i="142" s="1"/>
  <c r="AA68" i="142" s="1"/>
  <c r="AD68" i="142" s="1"/>
  <c r="AG68" i="142" s="1"/>
  <c r="AJ68" i="142" s="1"/>
  <c r="AM68" i="142" s="1"/>
  <c r="AP68" i="142" s="1"/>
  <c r="AS68" i="142" s="1"/>
  <c r="AV68" i="142" s="1"/>
  <c r="AY68" i="142" s="1"/>
  <c r="BB68" i="142" s="1"/>
  <c r="BE68" i="142" s="1"/>
  <c r="BH68" i="142" s="1"/>
  <c r="BK68" i="142" s="1"/>
  <c r="BN68" i="142" s="1"/>
  <c r="BQ68" i="142" s="1"/>
  <c r="BT68" i="142" s="1"/>
  <c r="BW68" i="142" s="1"/>
  <c r="BZ68" i="142" s="1"/>
  <c r="CC68" i="142" s="1"/>
  <c r="CF68" i="142" s="1"/>
  <c r="CI68" i="142" s="1"/>
  <c r="CL68" i="142" s="1"/>
  <c r="CO68" i="142" s="1"/>
  <c r="CR68" i="142" s="1"/>
  <c r="CU68" i="142" s="1"/>
  <c r="CV67" i="142"/>
  <c r="CW67" i="142"/>
  <c r="I67" i="142"/>
  <c r="L67" i="142" s="1"/>
  <c r="O67" i="142" s="1"/>
  <c r="R67" i="142" s="1"/>
  <c r="U67" i="142" s="1"/>
  <c r="X67" i="142" s="1"/>
  <c r="AA67" i="142" s="1"/>
  <c r="AD67" i="142" s="1"/>
  <c r="AG67" i="142" s="1"/>
  <c r="AJ67" i="142" s="1"/>
  <c r="AM67" i="142" s="1"/>
  <c r="AP67" i="142" s="1"/>
  <c r="AS67" i="142" s="1"/>
  <c r="AV67" i="142" s="1"/>
  <c r="AY67" i="142" s="1"/>
  <c r="BB67" i="142" s="1"/>
  <c r="BE67" i="142" s="1"/>
  <c r="BH67" i="142" s="1"/>
  <c r="BK67" i="142" s="1"/>
  <c r="BN67" i="142" s="1"/>
  <c r="BQ67" i="142" s="1"/>
  <c r="BT67" i="142" s="1"/>
  <c r="BW67" i="142" s="1"/>
  <c r="BZ67" i="142" s="1"/>
  <c r="CC67" i="142" s="1"/>
  <c r="CF67" i="142" s="1"/>
  <c r="CI67" i="142" s="1"/>
  <c r="CL67" i="142" s="1"/>
  <c r="CO67" i="142" s="1"/>
  <c r="CR67" i="142" s="1"/>
  <c r="CU67" i="142" s="1"/>
  <c r="CW66" i="142"/>
  <c r="CV66" i="142"/>
  <c r="I66" i="142"/>
  <c r="L66" i="142" s="1"/>
  <c r="O66" i="142" s="1"/>
  <c r="R66" i="142" s="1"/>
  <c r="U66" i="142" s="1"/>
  <c r="X66" i="142" s="1"/>
  <c r="AA66" i="142" s="1"/>
  <c r="AD66" i="142" s="1"/>
  <c r="AG66" i="142" s="1"/>
  <c r="AJ66" i="142" s="1"/>
  <c r="AM66" i="142" s="1"/>
  <c r="AP66" i="142" s="1"/>
  <c r="AS66" i="142" s="1"/>
  <c r="AV66" i="142" s="1"/>
  <c r="AY66" i="142" s="1"/>
  <c r="BB66" i="142" s="1"/>
  <c r="BE66" i="142" s="1"/>
  <c r="BH66" i="142" s="1"/>
  <c r="BK66" i="142" s="1"/>
  <c r="BN66" i="142" s="1"/>
  <c r="BQ66" i="142" s="1"/>
  <c r="BT66" i="142" s="1"/>
  <c r="BW66" i="142" s="1"/>
  <c r="BZ66" i="142" s="1"/>
  <c r="CC66" i="142" s="1"/>
  <c r="CF66" i="142" s="1"/>
  <c r="CI66" i="142" s="1"/>
  <c r="CL66" i="142" s="1"/>
  <c r="CO66" i="142" s="1"/>
  <c r="CR66" i="142" s="1"/>
  <c r="CU66" i="142" s="1"/>
  <c r="CW65" i="142"/>
  <c r="CV65" i="142"/>
  <c r="I65" i="142"/>
  <c r="L65" i="142" s="1"/>
  <c r="O65" i="142" s="1"/>
  <c r="R65" i="142" s="1"/>
  <c r="U65" i="142" s="1"/>
  <c r="X65" i="142" s="1"/>
  <c r="AA65" i="142" s="1"/>
  <c r="AD65" i="142" s="1"/>
  <c r="AG65" i="142" s="1"/>
  <c r="AJ65" i="142" s="1"/>
  <c r="AM65" i="142" s="1"/>
  <c r="AP65" i="142" s="1"/>
  <c r="AS65" i="142" s="1"/>
  <c r="AV65" i="142" s="1"/>
  <c r="AY65" i="142" s="1"/>
  <c r="BB65" i="142" s="1"/>
  <c r="BE65" i="142" s="1"/>
  <c r="BH65" i="142" s="1"/>
  <c r="BK65" i="142" s="1"/>
  <c r="BN65" i="142" s="1"/>
  <c r="BQ65" i="142" s="1"/>
  <c r="BT65" i="142" s="1"/>
  <c r="BW65" i="142" s="1"/>
  <c r="BZ65" i="142" s="1"/>
  <c r="CC65" i="142" s="1"/>
  <c r="CF65" i="142" s="1"/>
  <c r="CI65" i="142" s="1"/>
  <c r="CL65" i="142" s="1"/>
  <c r="CO65" i="142" s="1"/>
  <c r="CR65" i="142" s="1"/>
  <c r="CU65" i="142" s="1"/>
  <c r="CX65" i="142" s="1"/>
  <c r="CZ65" i="142" s="1"/>
  <c r="CV64" i="142"/>
  <c r="CW64" i="142"/>
  <c r="I64" i="142"/>
  <c r="L64" i="142" s="1"/>
  <c r="O64" i="142" s="1"/>
  <c r="R64" i="142" s="1"/>
  <c r="U64" i="142" s="1"/>
  <c r="X64" i="142" s="1"/>
  <c r="AA64" i="142" s="1"/>
  <c r="AD64" i="142" s="1"/>
  <c r="AG64" i="142" s="1"/>
  <c r="AJ64" i="142" s="1"/>
  <c r="AM64" i="142" s="1"/>
  <c r="AP64" i="142" s="1"/>
  <c r="AS64" i="142" s="1"/>
  <c r="AV64" i="142" s="1"/>
  <c r="AY64" i="142" s="1"/>
  <c r="BB64" i="142" s="1"/>
  <c r="BE64" i="142" s="1"/>
  <c r="BH64" i="142" s="1"/>
  <c r="BK64" i="142" s="1"/>
  <c r="BN64" i="142" s="1"/>
  <c r="BQ64" i="142" s="1"/>
  <c r="BT64" i="142" s="1"/>
  <c r="BW64" i="142" s="1"/>
  <c r="BZ64" i="142" s="1"/>
  <c r="CC64" i="142" s="1"/>
  <c r="CF64" i="142" s="1"/>
  <c r="CI64" i="142" s="1"/>
  <c r="CL64" i="142" s="1"/>
  <c r="CO64" i="142" s="1"/>
  <c r="CR64" i="142" s="1"/>
  <c r="CU64" i="142" s="1"/>
  <c r="CV63" i="142"/>
  <c r="I63" i="142"/>
  <c r="CW62" i="142"/>
  <c r="CV62" i="142"/>
  <c r="I62" i="142"/>
  <c r="L62" i="142" s="1"/>
  <c r="O62" i="142" s="1"/>
  <c r="R62" i="142" s="1"/>
  <c r="U62" i="142" s="1"/>
  <c r="X62" i="142" s="1"/>
  <c r="AA62" i="142" s="1"/>
  <c r="AD62" i="142" s="1"/>
  <c r="AG62" i="142" s="1"/>
  <c r="AJ62" i="142" s="1"/>
  <c r="AM62" i="142" s="1"/>
  <c r="AP62" i="142" s="1"/>
  <c r="AS62" i="142" s="1"/>
  <c r="AV62" i="142" s="1"/>
  <c r="AY62" i="142" s="1"/>
  <c r="BB62" i="142" s="1"/>
  <c r="BE62" i="142" s="1"/>
  <c r="BH62" i="142" s="1"/>
  <c r="BK62" i="142" s="1"/>
  <c r="BN62" i="142" s="1"/>
  <c r="BQ62" i="142" s="1"/>
  <c r="BT62" i="142" s="1"/>
  <c r="BW62" i="142" s="1"/>
  <c r="BZ62" i="142" s="1"/>
  <c r="CC62" i="142" s="1"/>
  <c r="CF62" i="142" s="1"/>
  <c r="CI62" i="142" s="1"/>
  <c r="CL62" i="142" s="1"/>
  <c r="CO62" i="142" s="1"/>
  <c r="CR62" i="142" s="1"/>
  <c r="CU62" i="142" s="1"/>
  <c r="CW61" i="142"/>
  <c r="CV61" i="142"/>
  <c r="I61" i="142"/>
  <c r="L61" i="142" s="1"/>
  <c r="O61" i="142" s="1"/>
  <c r="R61" i="142" s="1"/>
  <c r="U61" i="142" s="1"/>
  <c r="X61" i="142" s="1"/>
  <c r="AA61" i="142" s="1"/>
  <c r="AD61" i="142" s="1"/>
  <c r="AG61" i="142" s="1"/>
  <c r="AJ61" i="142" s="1"/>
  <c r="AM61" i="142" s="1"/>
  <c r="AP61" i="142" s="1"/>
  <c r="AS61" i="142" s="1"/>
  <c r="AV61" i="142" s="1"/>
  <c r="AY61" i="142" s="1"/>
  <c r="BB61" i="142" s="1"/>
  <c r="BE61" i="142" s="1"/>
  <c r="BH61" i="142" s="1"/>
  <c r="BK61" i="142" s="1"/>
  <c r="BN61" i="142" s="1"/>
  <c r="BQ61" i="142" s="1"/>
  <c r="BT61" i="142" s="1"/>
  <c r="BW61" i="142" s="1"/>
  <c r="BZ61" i="142" s="1"/>
  <c r="CC61" i="142" s="1"/>
  <c r="CF61" i="142" s="1"/>
  <c r="CI61" i="142" s="1"/>
  <c r="CL61" i="142" s="1"/>
  <c r="CO61" i="142" s="1"/>
  <c r="CR61" i="142" s="1"/>
  <c r="CU61" i="142" s="1"/>
  <c r="CW60" i="142"/>
  <c r="CV60" i="142"/>
  <c r="I60" i="142"/>
  <c r="L60" i="142" s="1"/>
  <c r="O60" i="142" s="1"/>
  <c r="R60" i="142" s="1"/>
  <c r="U60" i="142" s="1"/>
  <c r="CV59" i="142"/>
  <c r="I59" i="142"/>
  <c r="CV58" i="142"/>
  <c r="I58" i="142"/>
  <c r="CW57" i="142"/>
  <c r="CV57" i="142"/>
  <c r="I57" i="142"/>
  <c r="L57" i="142" s="1"/>
  <c r="O57" i="142" s="1"/>
  <c r="R57" i="142" s="1"/>
  <c r="U57" i="142" s="1"/>
  <c r="X57" i="142" s="1"/>
  <c r="AA57" i="142" s="1"/>
  <c r="AD57" i="142" s="1"/>
  <c r="AG57" i="142" s="1"/>
  <c r="AJ57" i="142" s="1"/>
  <c r="AM57" i="142" s="1"/>
  <c r="AP57" i="142" s="1"/>
  <c r="AS57" i="142" s="1"/>
  <c r="AV57" i="142" s="1"/>
  <c r="AY57" i="142" s="1"/>
  <c r="BB57" i="142" s="1"/>
  <c r="BE57" i="142" s="1"/>
  <c r="BH57" i="142" s="1"/>
  <c r="BK57" i="142" s="1"/>
  <c r="BN57" i="142" s="1"/>
  <c r="BQ57" i="142" s="1"/>
  <c r="BT57" i="142" s="1"/>
  <c r="BW57" i="142" s="1"/>
  <c r="BZ57" i="142" s="1"/>
  <c r="CC57" i="142" s="1"/>
  <c r="CF57" i="142" s="1"/>
  <c r="CI57" i="142" s="1"/>
  <c r="CL57" i="142" s="1"/>
  <c r="CO57" i="142" s="1"/>
  <c r="CR57" i="142" s="1"/>
  <c r="CU57" i="142" s="1"/>
  <c r="CW56" i="142"/>
  <c r="CV56" i="142"/>
  <c r="I56" i="142"/>
  <c r="L56" i="142" s="1"/>
  <c r="O56" i="142" s="1"/>
  <c r="R56" i="142" s="1"/>
  <c r="U56" i="142" s="1"/>
  <c r="X56" i="142" s="1"/>
  <c r="AA56" i="142" s="1"/>
  <c r="AD56" i="142" s="1"/>
  <c r="AG56" i="142" s="1"/>
  <c r="AJ56" i="142" s="1"/>
  <c r="AM56" i="142" s="1"/>
  <c r="AP56" i="142" s="1"/>
  <c r="AS56" i="142" s="1"/>
  <c r="AV56" i="142" s="1"/>
  <c r="AY56" i="142" s="1"/>
  <c r="BB56" i="142" s="1"/>
  <c r="BE56" i="142" s="1"/>
  <c r="BH56" i="142" s="1"/>
  <c r="BK56" i="142" s="1"/>
  <c r="BN56" i="142" s="1"/>
  <c r="BQ56" i="142" s="1"/>
  <c r="BT56" i="142" s="1"/>
  <c r="BW56" i="142" s="1"/>
  <c r="BZ56" i="142" s="1"/>
  <c r="CC56" i="142" s="1"/>
  <c r="CF56" i="142" s="1"/>
  <c r="CI56" i="142" s="1"/>
  <c r="CL56" i="142" s="1"/>
  <c r="CO56" i="142" s="1"/>
  <c r="CR56" i="142" s="1"/>
  <c r="CU56" i="142" s="1"/>
  <c r="CW55" i="142"/>
  <c r="CV55" i="142"/>
  <c r="I55" i="142"/>
  <c r="L55" i="142" s="1"/>
  <c r="O55" i="142" s="1"/>
  <c r="R55" i="142" s="1"/>
  <c r="U55" i="142" s="1"/>
  <c r="X55" i="142" s="1"/>
  <c r="AA55" i="142" s="1"/>
  <c r="AD55" i="142" s="1"/>
  <c r="AG55" i="142" s="1"/>
  <c r="AJ55" i="142" s="1"/>
  <c r="AM55" i="142" s="1"/>
  <c r="AP55" i="142" s="1"/>
  <c r="AS55" i="142" s="1"/>
  <c r="AV55" i="142" s="1"/>
  <c r="AY55" i="142" s="1"/>
  <c r="BB55" i="142" s="1"/>
  <c r="BE55" i="142" s="1"/>
  <c r="BH55" i="142" s="1"/>
  <c r="BK55" i="142" s="1"/>
  <c r="BN55" i="142" s="1"/>
  <c r="BQ55" i="142" s="1"/>
  <c r="BT55" i="142" s="1"/>
  <c r="BW55" i="142" s="1"/>
  <c r="BZ55" i="142" s="1"/>
  <c r="CC55" i="142" s="1"/>
  <c r="CF55" i="142" s="1"/>
  <c r="CI55" i="142" s="1"/>
  <c r="CL55" i="142" s="1"/>
  <c r="CO55" i="142" s="1"/>
  <c r="CR55" i="142" s="1"/>
  <c r="CU55" i="142" s="1"/>
  <c r="CW54" i="142"/>
  <c r="CV54" i="142"/>
  <c r="I54" i="142"/>
  <c r="L54" i="142" s="1"/>
  <c r="O54" i="142" s="1"/>
  <c r="R54" i="142" s="1"/>
  <c r="U54" i="142" s="1"/>
  <c r="X54" i="142" s="1"/>
  <c r="AA54" i="142" s="1"/>
  <c r="AD54" i="142" s="1"/>
  <c r="AG54" i="142" s="1"/>
  <c r="AJ54" i="142" s="1"/>
  <c r="AM54" i="142" s="1"/>
  <c r="AP54" i="142" s="1"/>
  <c r="AS54" i="142" s="1"/>
  <c r="AV54" i="142" s="1"/>
  <c r="AY54" i="142" s="1"/>
  <c r="BB54" i="142" s="1"/>
  <c r="BE54" i="142" s="1"/>
  <c r="BH54" i="142" s="1"/>
  <c r="BK54" i="142" s="1"/>
  <c r="BN54" i="142" s="1"/>
  <c r="BQ54" i="142" s="1"/>
  <c r="BT54" i="142" s="1"/>
  <c r="BW54" i="142" s="1"/>
  <c r="BZ54" i="142" s="1"/>
  <c r="CC54" i="142" s="1"/>
  <c r="CF54" i="142" s="1"/>
  <c r="CI54" i="142" s="1"/>
  <c r="CL54" i="142" s="1"/>
  <c r="CO54" i="142" s="1"/>
  <c r="CR54" i="142" s="1"/>
  <c r="CU54" i="142" s="1"/>
  <c r="CV53" i="142"/>
  <c r="CW53" i="142"/>
  <c r="I53" i="142"/>
  <c r="L53" i="142" s="1"/>
  <c r="O53" i="142" s="1"/>
  <c r="R53" i="142" s="1"/>
  <c r="U53" i="142" s="1"/>
  <c r="X53" i="142" s="1"/>
  <c r="AA53" i="142" s="1"/>
  <c r="AD53" i="142" s="1"/>
  <c r="AG53" i="142" s="1"/>
  <c r="AJ53" i="142" s="1"/>
  <c r="AM53" i="142" s="1"/>
  <c r="AP53" i="142" s="1"/>
  <c r="AS53" i="142" s="1"/>
  <c r="AV53" i="142" s="1"/>
  <c r="AY53" i="142" s="1"/>
  <c r="BB53" i="142" s="1"/>
  <c r="BE53" i="142" s="1"/>
  <c r="BH53" i="142" s="1"/>
  <c r="BK53" i="142" s="1"/>
  <c r="BN53" i="142" s="1"/>
  <c r="BQ53" i="142" s="1"/>
  <c r="BT53" i="142" s="1"/>
  <c r="BW53" i="142" s="1"/>
  <c r="BZ53" i="142" s="1"/>
  <c r="CC53" i="142" s="1"/>
  <c r="CF53" i="142" s="1"/>
  <c r="CI53" i="142" s="1"/>
  <c r="CL53" i="142" s="1"/>
  <c r="CO53" i="142" s="1"/>
  <c r="CR53" i="142" s="1"/>
  <c r="CU53" i="142" s="1"/>
  <c r="CW52" i="142"/>
  <c r="CV52" i="142"/>
  <c r="I52" i="142"/>
  <c r="L52" i="142" s="1"/>
  <c r="O52" i="142" s="1"/>
  <c r="R52" i="142" s="1"/>
  <c r="U52" i="142" s="1"/>
  <c r="X52" i="142" s="1"/>
  <c r="AA52" i="142" s="1"/>
  <c r="AD52" i="142" s="1"/>
  <c r="AG52" i="142" s="1"/>
  <c r="AJ52" i="142" s="1"/>
  <c r="AM52" i="142" s="1"/>
  <c r="AP52" i="142" s="1"/>
  <c r="AS52" i="142" s="1"/>
  <c r="AV52" i="142" s="1"/>
  <c r="AY52" i="142" s="1"/>
  <c r="BB52" i="142" s="1"/>
  <c r="BE52" i="142" s="1"/>
  <c r="BH52" i="142" s="1"/>
  <c r="BK52" i="142" s="1"/>
  <c r="BN52" i="142" s="1"/>
  <c r="BQ52" i="142" s="1"/>
  <c r="BT52" i="142" s="1"/>
  <c r="BW52" i="142" s="1"/>
  <c r="BZ52" i="142" s="1"/>
  <c r="CC52" i="142" s="1"/>
  <c r="CF52" i="142" s="1"/>
  <c r="CI52" i="142" s="1"/>
  <c r="CL52" i="142" s="1"/>
  <c r="CO52" i="142" s="1"/>
  <c r="CR52" i="142" s="1"/>
  <c r="CU52" i="142" s="1"/>
  <c r="CW51" i="142"/>
  <c r="CV51" i="142"/>
  <c r="I51" i="142"/>
  <c r="L51" i="142" s="1"/>
  <c r="O51" i="142" s="1"/>
  <c r="R51" i="142" s="1"/>
  <c r="U51" i="142" s="1"/>
  <c r="X51" i="142" s="1"/>
  <c r="AA51" i="142" s="1"/>
  <c r="AD51" i="142" s="1"/>
  <c r="AG51" i="142" s="1"/>
  <c r="AJ51" i="142" s="1"/>
  <c r="AM51" i="142" s="1"/>
  <c r="AP51" i="142" s="1"/>
  <c r="AS51" i="142" s="1"/>
  <c r="AV51" i="142" s="1"/>
  <c r="AY51" i="142" s="1"/>
  <c r="BB51" i="142" s="1"/>
  <c r="BE51" i="142" s="1"/>
  <c r="BH51" i="142" s="1"/>
  <c r="BK51" i="142" s="1"/>
  <c r="BN51" i="142" s="1"/>
  <c r="BQ51" i="142" s="1"/>
  <c r="BT51" i="142" s="1"/>
  <c r="BW51" i="142" s="1"/>
  <c r="BZ51" i="142" s="1"/>
  <c r="CC51" i="142" s="1"/>
  <c r="CF51" i="142" s="1"/>
  <c r="CI51" i="142" s="1"/>
  <c r="CL51" i="142" s="1"/>
  <c r="CO51" i="142" s="1"/>
  <c r="CR51" i="142" s="1"/>
  <c r="CU51" i="142" s="1"/>
  <c r="CW50" i="142"/>
  <c r="CV50" i="142"/>
  <c r="I50" i="142"/>
  <c r="L50" i="142" s="1"/>
  <c r="O50" i="142" s="1"/>
  <c r="R50" i="142" s="1"/>
  <c r="U50" i="142" s="1"/>
  <c r="X50" i="142" s="1"/>
  <c r="AA50" i="142" s="1"/>
  <c r="AD50" i="142" s="1"/>
  <c r="AG50" i="142" s="1"/>
  <c r="AJ50" i="142" s="1"/>
  <c r="AM50" i="142" s="1"/>
  <c r="AP50" i="142" s="1"/>
  <c r="AS50" i="142" s="1"/>
  <c r="AV50" i="142" s="1"/>
  <c r="AY50" i="142" s="1"/>
  <c r="BB50" i="142" s="1"/>
  <c r="BE50" i="142" s="1"/>
  <c r="BH50" i="142" s="1"/>
  <c r="BK50" i="142" s="1"/>
  <c r="BN50" i="142" s="1"/>
  <c r="BQ50" i="142" s="1"/>
  <c r="BT50" i="142" s="1"/>
  <c r="BW50" i="142" s="1"/>
  <c r="BZ50" i="142" s="1"/>
  <c r="CC50" i="142" s="1"/>
  <c r="CF50" i="142" s="1"/>
  <c r="CI50" i="142" s="1"/>
  <c r="CL50" i="142" s="1"/>
  <c r="CO50" i="142" s="1"/>
  <c r="CR50" i="142" s="1"/>
  <c r="CU50" i="142" s="1"/>
  <c r="CW49" i="142"/>
  <c r="CV49" i="142"/>
  <c r="I49" i="142"/>
  <c r="L49" i="142" s="1"/>
  <c r="O49" i="142" s="1"/>
  <c r="R49" i="142" s="1"/>
  <c r="U49" i="142" s="1"/>
  <c r="X49" i="142" s="1"/>
  <c r="AA49" i="142" s="1"/>
  <c r="AD49" i="142" s="1"/>
  <c r="AG49" i="142" s="1"/>
  <c r="AJ49" i="142" s="1"/>
  <c r="AM49" i="142" s="1"/>
  <c r="AP49" i="142" s="1"/>
  <c r="AS49" i="142" s="1"/>
  <c r="AV49" i="142" s="1"/>
  <c r="AY49" i="142" s="1"/>
  <c r="BB49" i="142" s="1"/>
  <c r="BE49" i="142" s="1"/>
  <c r="BH49" i="142" s="1"/>
  <c r="BK49" i="142" s="1"/>
  <c r="BN49" i="142" s="1"/>
  <c r="BQ49" i="142" s="1"/>
  <c r="BT49" i="142" s="1"/>
  <c r="BW49" i="142" s="1"/>
  <c r="BZ49" i="142" s="1"/>
  <c r="CC49" i="142" s="1"/>
  <c r="CF49" i="142" s="1"/>
  <c r="CI49" i="142" s="1"/>
  <c r="CL49" i="142" s="1"/>
  <c r="CO49" i="142" s="1"/>
  <c r="CR49" i="142" s="1"/>
  <c r="CU49" i="142" s="1"/>
  <c r="CX49" i="142" s="1"/>
  <c r="CZ49" i="142" s="1"/>
  <c r="CV48" i="142"/>
  <c r="I48" i="142"/>
  <c r="L48" i="142" s="1"/>
  <c r="O48" i="142" s="1"/>
  <c r="R48" i="142" s="1"/>
  <c r="U48" i="142" s="1"/>
  <c r="X48" i="142" s="1"/>
  <c r="AA48" i="142" s="1"/>
  <c r="AD48" i="142" s="1"/>
  <c r="AG48" i="142" s="1"/>
  <c r="AJ48" i="142" s="1"/>
  <c r="AM48" i="142" s="1"/>
  <c r="AP48" i="142" s="1"/>
  <c r="AS48" i="142" s="1"/>
  <c r="AV48" i="142" s="1"/>
  <c r="AY48" i="142" s="1"/>
  <c r="BB48" i="142" s="1"/>
  <c r="BE48" i="142" s="1"/>
  <c r="BH48" i="142" s="1"/>
  <c r="BK48" i="142" s="1"/>
  <c r="BN48" i="142" s="1"/>
  <c r="BQ48" i="142" s="1"/>
  <c r="BT48" i="142" s="1"/>
  <c r="BW48" i="142" s="1"/>
  <c r="BZ48" i="142" s="1"/>
  <c r="CC48" i="142" s="1"/>
  <c r="CF48" i="142" s="1"/>
  <c r="CI48" i="142" s="1"/>
  <c r="CL48" i="142" s="1"/>
  <c r="CO48" i="142" s="1"/>
  <c r="CR48" i="142" s="1"/>
  <c r="CU48" i="142" s="1"/>
  <c r="CV47" i="142"/>
  <c r="CW47" i="142"/>
  <c r="I47" i="142"/>
  <c r="L47" i="142" s="1"/>
  <c r="O47" i="142" s="1"/>
  <c r="R47" i="142" s="1"/>
  <c r="U47" i="142" s="1"/>
  <c r="X47" i="142" s="1"/>
  <c r="AA47" i="142" s="1"/>
  <c r="AD47" i="142" s="1"/>
  <c r="AG47" i="142" s="1"/>
  <c r="AJ47" i="142" s="1"/>
  <c r="AM47" i="142" s="1"/>
  <c r="AP47" i="142" s="1"/>
  <c r="AS47" i="142" s="1"/>
  <c r="AV47" i="142" s="1"/>
  <c r="AY47" i="142" s="1"/>
  <c r="BB47" i="142" s="1"/>
  <c r="BE47" i="142" s="1"/>
  <c r="BH47" i="142" s="1"/>
  <c r="BK47" i="142" s="1"/>
  <c r="BN47" i="142" s="1"/>
  <c r="BQ47" i="142" s="1"/>
  <c r="BT47" i="142" s="1"/>
  <c r="BW47" i="142" s="1"/>
  <c r="BZ47" i="142" s="1"/>
  <c r="CC47" i="142" s="1"/>
  <c r="CF47" i="142" s="1"/>
  <c r="CI47" i="142" s="1"/>
  <c r="CL47" i="142" s="1"/>
  <c r="CO47" i="142" s="1"/>
  <c r="CR47" i="142" s="1"/>
  <c r="CU47" i="142" s="1"/>
  <c r="CW46" i="142"/>
  <c r="CV46" i="142"/>
  <c r="I46" i="142"/>
  <c r="L46" i="142" s="1"/>
  <c r="O46" i="142" s="1"/>
  <c r="R46" i="142" s="1"/>
  <c r="U46" i="142" s="1"/>
  <c r="X46" i="142" s="1"/>
  <c r="AA46" i="142" s="1"/>
  <c r="AD46" i="142" s="1"/>
  <c r="AG46" i="142" s="1"/>
  <c r="AJ46" i="142" s="1"/>
  <c r="AM46" i="142" s="1"/>
  <c r="AP46" i="142" s="1"/>
  <c r="AS46" i="142" s="1"/>
  <c r="AV46" i="142" s="1"/>
  <c r="AY46" i="142" s="1"/>
  <c r="BB46" i="142" s="1"/>
  <c r="BE46" i="142" s="1"/>
  <c r="BH46" i="142" s="1"/>
  <c r="BK46" i="142" s="1"/>
  <c r="BN46" i="142" s="1"/>
  <c r="BQ46" i="142" s="1"/>
  <c r="BT46" i="142" s="1"/>
  <c r="BW46" i="142" s="1"/>
  <c r="BZ46" i="142" s="1"/>
  <c r="CC46" i="142" s="1"/>
  <c r="CF46" i="142" s="1"/>
  <c r="CI46" i="142" s="1"/>
  <c r="CL46" i="142" s="1"/>
  <c r="CO46" i="142" s="1"/>
  <c r="CR46" i="142" s="1"/>
  <c r="CU46" i="142" s="1"/>
  <c r="CW45" i="142"/>
  <c r="CV45" i="142"/>
  <c r="I45" i="142"/>
  <c r="L45" i="142" s="1"/>
  <c r="O45" i="142" s="1"/>
  <c r="R45" i="142" s="1"/>
  <c r="U45" i="142" s="1"/>
  <c r="X45" i="142" s="1"/>
  <c r="AA45" i="142" s="1"/>
  <c r="AD45" i="142" s="1"/>
  <c r="AG45" i="142" s="1"/>
  <c r="AJ45" i="142" s="1"/>
  <c r="AM45" i="142" s="1"/>
  <c r="AP45" i="142" s="1"/>
  <c r="AS45" i="142" s="1"/>
  <c r="AV45" i="142" s="1"/>
  <c r="AY45" i="142" s="1"/>
  <c r="BB45" i="142" s="1"/>
  <c r="BE45" i="142" s="1"/>
  <c r="BH45" i="142" s="1"/>
  <c r="BK45" i="142" s="1"/>
  <c r="BN45" i="142" s="1"/>
  <c r="BQ45" i="142" s="1"/>
  <c r="BT45" i="142" s="1"/>
  <c r="BW45" i="142" s="1"/>
  <c r="BZ45" i="142" s="1"/>
  <c r="CC45" i="142" s="1"/>
  <c r="CF45" i="142" s="1"/>
  <c r="CI45" i="142" s="1"/>
  <c r="CL45" i="142" s="1"/>
  <c r="CO45" i="142" s="1"/>
  <c r="CR45" i="142" s="1"/>
  <c r="CU45" i="142" s="1"/>
  <c r="CW44" i="142"/>
  <c r="CV44" i="142"/>
  <c r="I44" i="142"/>
  <c r="L44" i="142" s="1"/>
  <c r="O44" i="142" s="1"/>
  <c r="R44" i="142" s="1"/>
  <c r="U44" i="142" s="1"/>
  <c r="X44" i="142" s="1"/>
  <c r="AA44" i="142" s="1"/>
  <c r="AD44" i="142" s="1"/>
  <c r="AG44" i="142" s="1"/>
  <c r="AJ44" i="142" s="1"/>
  <c r="AM44" i="142" s="1"/>
  <c r="AP44" i="142" s="1"/>
  <c r="AS44" i="142" s="1"/>
  <c r="AV44" i="142" s="1"/>
  <c r="AY44" i="142" s="1"/>
  <c r="BB44" i="142" s="1"/>
  <c r="BE44" i="142" s="1"/>
  <c r="BH44" i="142" s="1"/>
  <c r="BK44" i="142" s="1"/>
  <c r="BN44" i="142" s="1"/>
  <c r="BQ44" i="142" s="1"/>
  <c r="BT44" i="142" s="1"/>
  <c r="BW44" i="142" s="1"/>
  <c r="BZ44" i="142" s="1"/>
  <c r="CC44" i="142" s="1"/>
  <c r="CF44" i="142" s="1"/>
  <c r="CI44" i="142" s="1"/>
  <c r="CL44" i="142" s="1"/>
  <c r="CO44" i="142" s="1"/>
  <c r="CR44" i="142" s="1"/>
  <c r="CU44" i="142" s="1"/>
  <c r="CV43" i="142"/>
  <c r="I43" i="142"/>
  <c r="L43" i="142" s="1"/>
  <c r="O43" i="142" s="1"/>
  <c r="R43" i="142" s="1"/>
  <c r="U43" i="142" s="1"/>
  <c r="X43" i="142" s="1"/>
  <c r="AA43" i="142" s="1"/>
  <c r="AD43" i="142" s="1"/>
  <c r="AG43" i="142" s="1"/>
  <c r="AJ43" i="142" s="1"/>
  <c r="AM43" i="142" s="1"/>
  <c r="AP43" i="142" s="1"/>
  <c r="AS43" i="142" s="1"/>
  <c r="AV43" i="142" s="1"/>
  <c r="AY43" i="142" s="1"/>
  <c r="BB43" i="142" s="1"/>
  <c r="BE43" i="142" s="1"/>
  <c r="BH43" i="142" s="1"/>
  <c r="BK43" i="142" s="1"/>
  <c r="BN43" i="142" s="1"/>
  <c r="BQ43" i="142" s="1"/>
  <c r="BT43" i="142" s="1"/>
  <c r="BW43" i="142" s="1"/>
  <c r="BZ43" i="142" s="1"/>
  <c r="CC43" i="142" s="1"/>
  <c r="CF43" i="142" s="1"/>
  <c r="CI43" i="142" s="1"/>
  <c r="CL43" i="142" s="1"/>
  <c r="CO43" i="142" s="1"/>
  <c r="CR43" i="142" s="1"/>
  <c r="CU43" i="142" s="1"/>
  <c r="CW42" i="142"/>
  <c r="CV42" i="142"/>
  <c r="I42" i="142"/>
  <c r="L42" i="142" s="1"/>
  <c r="O42" i="142" s="1"/>
  <c r="R42" i="142" s="1"/>
  <c r="U42" i="142" s="1"/>
  <c r="X42" i="142" s="1"/>
  <c r="AA42" i="142" s="1"/>
  <c r="AD42" i="142" s="1"/>
  <c r="AG42" i="142" s="1"/>
  <c r="AJ42" i="142" s="1"/>
  <c r="AM42" i="142" s="1"/>
  <c r="AP42" i="142" s="1"/>
  <c r="AS42" i="142" s="1"/>
  <c r="AV42" i="142" s="1"/>
  <c r="AY42" i="142" s="1"/>
  <c r="BB42" i="142" s="1"/>
  <c r="BE42" i="142" s="1"/>
  <c r="BH42" i="142" s="1"/>
  <c r="BK42" i="142" s="1"/>
  <c r="BN42" i="142" s="1"/>
  <c r="BQ42" i="142" s="1"/>
  <c r="BT42" i="142" s="1"/>
  <c r="BW42" i="142" s="1"/>
  <c r="BZ42" i="142" s="1"/>
  <c r="CC42" i="142" s="1"/>
  <c r="CF42" i="142" s="1"/>
  <c r="CI42" i="142" s="1"/>
  <c r="CL42" i="142" s="1"/>
  <c r="CO42" i="142" s="1"/>
  <c r="CR42" i="142" s="1"/>
  <c r="CU42" i="142" s="1"/>
  <c r="CW41" i="142"/>
  <c r="CV41" i="142"/>
  <c r="I41" i="142"/>
  <c r="L41" i="142" s="1"/>
  <c r="O41" i="142" s="1"/>
  <c r="R41" i="142" s="1"/>
  <c r="U41" i="142" s="1"/>
  <c r="X41" i="142" s="1"/>
  <c r="AA41" i="142" s="1"/>
  <c r="AD41" i="142" s="1"/>
  <c r="AG41" i="142" s="1"/>
  <c r="AJ41" i="142" s="1"/>
  <c r="AM41" i="142" s="1"/>
  <c r="AP41" i="142" s="1"/>
  <c r="AS41" i="142" s="1"/>
  <c r="AV41" i="142" s="1"/>
  <c r="AY41" i="142" s="1"/>
  <c r="BB41" i="142" s="1"/>
  <c r="BE41" i="142" s="1"/>
  <c r="BH41" i="142" s="1"/>
  <c r="BK41" i="142" s="1"/>
  <c r="BN41" i="142" s="1"/>
  <c r="BQ41" i="142" s="1"/>
  <c r="BT41" i="142" s="1"/>
  <c r="BW41" i="142" s="1"/>
  <c r="BZ41" i="142" s="1"/>
  <c r="CC41" i="142" s="1"/>
  <c r="CF41" i="142" s="1"/>
  <c r="CI41" i="142" s="1"/>
  <c r="CL41" i="142" s="1"/>
  <c r="CO41" i="142" s="1"/>
  <c r="CR41" i="142" s="1"/>
  <c r="CU41" i="142" s="1"/>
  <c r="CV40" i="142"/>
  <c r="I40" i="142"/>
  <c r="I39" i="142"/>
  <c r="L39" i="142" s="1"/>
  <c r="O39" i="142" s="1"/>
  <c r="R39" i="142" s="1"/>
  <c r="U39" i="142" s="1"/>
  <c r="X39" i="142" s="1"/>
  <c r="AA39" i="142" s="1"/>
  <c r="AD39" i="142" s="1"/>
  <c r="AG39" i="142" s="1"/>
  <c r="AJ39" i="142" s="1"/>
  <c r="AM39" i="142" s="1"/>
  <c r="AP39" i="142" s="1"/>
  <c r="AS39" i="142" s="1"/>
  <c r="AV39" i="142" s="1"/>
  <c r="AY39" i="142" s="1"/>
  <c r="BB39" i="142" s="1"/>
  <c r="BE39" i="142" s="1"/>
  <c r="BH39" i="142" s="1"/>
  <c r="BK39" i="142" s="1"/>
  <c r="BN39" i="142" s="1"/>
  <c r="BQ39" i="142" s="1"/>
  <c r="BT39" i="142" s="1"/>
  <c r="BW39" i="142" s="1"/>
  <c r="BZ39" i="142" s="1"/>
  <c r="CC39" i="142" s="1"/>
  <c r="CF39" i="142" s="1"/>
  <c r="CI39" i="142" s="1"/>
  <c r="CL39" i="142" s="1"/>
  <c r="CO39" i="142" s="1"/>
  <c r="CR39" i="142" s="1"/>
  <c r="CU39" i="142" s="1"/>
  <c r="CW38" i="142"/>
  <c r="CV38" i="142"/>
  <c r="I38" i="142"/>
  <c r="L38" i="142" s="1"/>
  <c r="O38" i="142" s="1"/>
  <c r="R38" i="142" s="1"/>
  <c r="U38" i="142" s="1"/>
  <c r="X38" i="142" s="1"/>
  <c r="AA38" i="142" s="1"/>
  <c r="AD38" i="142" s="1"/>
  <c r="AG38" i="142" s="1"/>
  <c r="AJ38" i="142" s="1"/>
  <c r="AM38" i="142" s="1"/>
  <c r="AP38" i="142" s="1"/>
  <c r="AS38" i="142" s="1"/>
  <c r="AV38" i="142" s="1"/>
  <c r="AY38" i="142" s="1"/>
  <c r="BB38" i="142" s="1"/>
  <c r="BE38" i="142" s="1"/>
  <c r="BH38" i="142" s="1"/>
  <c r="BK38" i="142" s="1"/>
  <c r="BN38" i="142" s="1"/>
  <c r="BQ38" i="142" s="1"/>
  <c r="BT38" i="142" s="1"/>
  <c r="BW38" i="142" s="1"/>
  <c r="BZ38" i="142" s="1"/>
  <c r="CC38" i="142" s="1"/>
  <c r="CF38" i="142" s="1"/>
  <c r="CI38" i="142" s="1"/>
  <c r="CL38" i="142" s="1"/>
  <c r="CO38" i="142" s="1"/>
  <c r="CR38" i="142" s="1"/>
  <c r="CU38" i="142" s="1"/>
  <c r="CW37" i="142"/>
  <c r="CV37" i="142"/>
  <c r="I37" i="142"/>
  <c r="L37" i="142" s="1"/>
  <c r="O37" i="142" s="1"/>
  <c r="R37" i="142" s="1"/>
  <c r="U37" i="142" s="1"/>
  <c r="X37" i="142" s="1"/>
  <c r="AA37" i="142" s="1"/>
  <c r="AD37" i="142" s="1"/>
  <c r="AG37" i="142" s="1"/>
  <c r="AJ37" i="142" s="1"/>
  <c r="AM37" i="142" s="1"/>
  <c r="AP37" i="142" s="1"/>
  <c r="AS37" i="142" s="1"/>
  <c r="AV37" i="142" s="1"/>
  <c r="AY37" i="142" s="1"/>
  <c r="BB37" i="142" s="1"/>
  <c r="BE37" i="142" s="1"/>
  <c r="BH37" i="142" s="1"/>
  <c r="BK37" i="142" s="1"/>
  <c r="BN37" i="142" s="1"/>
  <c r="BQ37" i="142" s="1"/>
  <c r="BT37" i="142" s="1"/>
  <c r="BW37" i="142" s="1"/>
  <c r="BZ37" i="142" s="1"/>
  <c r="CC37" i="142" s="1"/>
  <c r="CF37" i="142" s="1"/>
  <c r="CI37" i="142" s="1"/>
  <c r="CL37" i="142" s="1"/>
  <c r="CO37" i="142" s="1"/>
  <c r="CR37" i="142" s="1"/>
  <c r="CU37" i="142" s="1"/>
  <c r="CW36" i="142"/>
  <c r="I36" i="142"/>
  <c r="L36" i="142" s="1"/>
  <c r="O36" i="142" s="1"/>
  <c r="R36" i="142" s="1"/>
  <c r="CW35" i="142"/>
  <c r="CV35" i="142"/>
  <c r="I35" i="142"/>
  <c r="L35" i="142" s="1"/>
  <c r="O35" i="142" s="1"/>
  <c r="R35" i="142" s="1"/>
  <c r="U35" i="142" s="1"/>
  <c r="X35" i="142" s="1"/>
  <c r="AA35" i="142" s="1"/>
  <c r="AD35" i="142" s="1"/>
  <c r="AG35" i="142" s="1"/>
  <c r="AJ35" i="142" s="1"/>
  <c r="AM35" i="142" s="1"/>
  <c r="AP35" i="142" s="1"/>
  <c r="AS35" i="142" s="1"/>
  <c r="AV35" i="142" s="1"/>
  <c r="AY35" i="142" s="1"/>
  <c r="BB35" i="142" s="1"/>
  <c r="BE35" i="142" s="1"/>
  <c r="BH35" i="142" s="1"/>
  <c r="BK35" i="142" s="1"/>
  <c r="BN35" i="142" s="1"/>
  <c r="BQ35" i="142" s="1"/>
  <c r="BT35" i="142" s="1"/>
  <c r="BW35" i="142" s="1"/>
  <c r="BZ35" i="142" s="1"/>
  <c r="CC35" i="142" s="1"/>
  <c r="CF35" i="142" s="1"/>
  <c r="CI35" i="142" s="1"/>
  <c r="CL35" i="142" s="1"/>
  <c r="CO35" i="142" s="1"/>
  <c r="CR35" i="142" s="1"/>
  <c r="CU35" i="142" s="1"/>
  <c r="CW34" i="142"/>
  <c r="CV34" i="142"/>
  <c r="I34" i="142"/>
  <c r="L34" i="142" s="1"/>
  <c r="O34" i="142" s="1"/>
  <c r="R34" i="142" s="1"/>
  <c r="U34" i="142" s="1"/>
  <c r="X34" i="142" s="1"/>
  <c r="AA34" i="142" s="1"/>
  <c r="AD34" i="142" s="1"/>
  <c r="AG34" i="142" s="1"/>
  <c r="AJ34" i="142" s="1"/>
  <c r="AM34" i="142" s="1"/>
  <c r="AP34" i="142" s="1"/>
  <c r="AS34" i="142" s="1"/>
  <c r="AV34" i="142" s="1"/>
  <c r="AY34" i="142" s="1"/>
  <c r="BB34" i="142" s="1"/>
  <c r="BE34" i="142" s="1"/>
  <c r="BH34" i="142" s="1"/>
  <c r="BK34" i="142" s="1"/>
  <c r="BN34" i="142" s="1"/>
  <c r="BQ34" i="142" s="1"/>
  <c r="BT34" i="142" s="1"/>
  <c r="BW34" i="142" s="1"/>
  <c r="BZ34" i="142" s="1"/>
  <c r="CC34" i="142" s="1"/>
  <c r="CF34" i="142" s="1"/>
  <c r="CI34" i="142" s="1"/>
  <c r="CL34" i="142" s="1"/>
  <c r="CO34" i="142" s="1"/>
  <c r="CR34" i="142" s="1"/>
  <c r="CU34" i="142" s="1"/>
  <c r="CW33" i="142"/>
  <c r="CV33" i="142"/>
  <c r="I33" i="142"/>
  <c r="L33" i="142" s="1"/>
  <c r="O33" i="142" s="1"/>
  <c r="R33" i="142" s="1"/>
  <c r="U33" i="142" s="1"/>
  <c r="X33" i="142" s="1"/>
  <c r="AA33" i="142" s="1"/>
  <c r="AD33" i="142" s="1"/>
  <c r="AG33" i="142" s="1"/>
  <c r="AJ33" i="142" s="1"/>
  <c r="AM33" i="142" s="1"/>
  <c r="AP33" i="142" s="1"/>
  <c r="AS33" i="142" s="1"/>
  <c r="AV33" i="142" s="1"/>
  <c r="AY33" i="142" s="1"/>
  <c r="BB33" i="142" s="1"/>
  <c r="BE33" i="142" s="1"/>
  <c r="BH33" i="142" s="1"/>
  <c r="BK33" i="142" s="1"/>
  <c r="BN33" i="142" s="1"/>
  <c r="BQ33" i="142" s="1"/>
  <c r="BT33" i="142" s="1"/>
  <c r="BW33" i="142" s="1"/>
  <c r="BZ33" i="142" s="1"/>
  <c r="CC33" i="142" s="1"/>
  <c r="CF33" i="142" s="1"/>
  <c r="CI33" i="142" s="1"/>
  <c r="CL33" i="142" s="1"/>
  <c r="CO33" i="142" s="1"/>
  <c r="CR33" i="142" s="1"/>
  <c r="CU33" i="142" s="1"/>
  <c r="CW32" i="142"/>
  <c r="CV32" i="142"/>
  <c r="I32" i="142"/>
  <c r="L32" i="142" s="1"/>
  <c r="O32" i="142" s="1"/>
  <c r="R32" i="142" s="1"/>
  <c r="U32" i="142" s="1"/>
  <c r="X32" i="142" s="1"/>
  <c r="AA32" i="142" s="1"/>
  <c r="AD32" i="142" s="1"/>
  <c r="AG32" i="142" s="1"/>
  <c r="AJ32" i="142" s="1"/>
  <c r="AM32" i="142" s="1"/>
  <c r="AP32" i="142" s="1"/>
  <c r="AS32" i="142" s="1"/>
  <c r="AV32" i="142" s="1"/>
  <c r="AY32" i="142" s="1"/>
  <c r="BB32" i="142" s="1"/>
  <c r="BE32" i="142" s="1"/>
  <c r="BH32" i="142" s="1"/>
  <c r="BK32" i="142" s="1"/>
  <c r="BN32" i="142" s="1"/>
  <c r="BQ32" i="142" s="1"/>
  <c r="BT32" i="142" s="1"/>
  <c r="BW32" i="142" s="1"/>
  <c r="BZ32" i="142" s="1"/>
  <c r="CC32" i="142" s="1"/>
  <c r="CF32" i="142" s="1"/>
  <c r="CI32" i="142" s="1"/>
  <c r="CL32" i="142" s="1"/>
  <c r="CO32" i="142" s="1"/>
  <c r="CR32" i="142" s="1"/>
  <c r="CU32" i="142" s="1"/>
  <c r="CW31" i="142"/>
  <c r="CV31" i="142"/>
  <c r="I31" i="142"/>
  <c r="L31" i="142" s="1"/>
  <c r="O31" i="142" s="1"/>
  <c r="R31" i="142" s="1"/>
  <c r="U31" i="142" s="1"/>
  <c r="X31" i="142" s="1"/>
  <c r="AA31" i="142" s="1"/>
  <c r="AD31" i="142" s="1"/>
  <c r="AG31" i="142" s="1"/>
  <c r="AJ31" i="142" s="1"/>
  <c r="AM31" i="142" s="1"/>
  <c r="AP31" i="142" s="1"/>
  <c r="AS31" i="142" s="1"/>
  <c r="AV31" i="142" s="1"/>
  <c r="AY31" i="142" s="1"/>
  <c r="BB31" i="142" s="1"/>
  <c r="BE31" i="142" s="1"/>
  <c r="BH31" i="142" s="1"/>
  <c r="BK31" i="142" s="1"/>
  <c r="BN31" i="142" s="1"/>
  <c r="BQ31" i="142" s="1"/>
  <c r="BT31" i="142" s="1"/>
  <c r="BW31" i="142" s="1"/>
  <c r="BZ31" i="142" s="1"/>
  <c r="CC31" i="142" s="1"/>
  <c r="CF31" i="142" s="1"/>
  <c r="CI31" i="142" s="1"/>
  <c r="CL31" i="142" s="1"/>
  <c r="CO31" i="142" s="1"/>
  <c r="CR31" i="142" s="1"/>
  <c r="CU31" i="142" s="1"/>
  <c r="CW30" i="142"/>
  <c r="CV30" i="142"/>
  <c r="I30" i="142"/>
  <c r="L30" i="142" s="1"/>
  <c r="O30" i="142" s="1"/>
  <c r="R30" i="142" s="1"/>
  <c r="U30" i="142" s="1"/>
  <c r="X30" i="142" s="1"/>
  <c r="AA30" i="142" s="1"/>
  <c r="AD30" i="142" s="1"/>
  <c r="AG30" i="142" s="1"/>
  <c r="AJ30" i="142" s="1"/>
  <c r="AM30" i="142" s="1"/>
  <c r="AP30" i="142" s="1"/>
  <c r="AS30" i="142" s="1"/>
  <c r="AV30" i="142" s="1"/>
  <c r="AY30" i="142" s="1"/>
  <c r="BB30" i="142" s="1"/>
  <c r="BE30" i="142" s="1"/>
  <c r="BH30" i="142" s="1"/>
  <c r="BK30" i="142" s="1"/>
  <c r="BN30" i="142" s="1"/>
  <c r="BQ30" i="142" s="1"/>
  <c r="BT30" i="142" s="1"/>
  <c r="BW30" i="142" s="1"/>
  <c r="BZ30" i="142" s="1"/>
  <c r="CC30" i="142" s="1"/>
  <c r="CF30" i="142" s="1"/>
  <c r="CI30" i="142" s="1"/>
  <c r="CL30" i="142" s="1"/>
  <c r="CO30" i="142" s="1"/>
  <c r="CR30" i="142" s="1"/>
  <c r="CU30" i="142" s="1"/>
  <c r="CV29" i="142"/>
  <c r="CW29" i="142"/>
  <c r="I29" i="142"/>
  <c r="L29" i="142" s="1"/>
  <c r="O29" i="142" s="1"/>
  <c r="R29" i="142" s="1"/>
  <c r="U29" i="142" s="1"/>
  <c r="X29" i="142" s="1"/>
  <c r="AA29" i="142" s="1"/>
  <c r="AD29" i="142" s="1"/>
  <c r="AG29" i="142" s="1"/>
  <c r="AJ29" i="142" s="1"/>
  <c r="AM29" i="142" s="1"/>
  <c r="AP29" i="142" s="1"/>
  <c r="AS29" i="142" s="1"/>
  <c r="AV29" i="142" s="1"/>
  <c r="AY29" i="142" s="1"/>
  <c r="BB29" i="142" s="1"/>
  <c r="BE29" i="142" s="1"/>
  <c r="BH29" i="142" s="1"/>
  <c r="BK29" i="142" s="1"/>
  <c r="BN29" i="142" s="1"/>
  <c r="BQ29" i="142" s="1"/>
  <c r="BT29" i="142" s="1"/>
  <c r="BW29" i="142" s="1"/>
  <c r="BZ29" i="142" s="1"/>
  <c r="CC29" i="142" s="1"/>
  <c r="CF29" i="142" s="1"/>
  <c r="CI29" i="142" s="1"/>
  <c r="CL29" i="142" s="1"/>
  <c r="CO29" i="142" s="1"/>
  <c r="CR29" i="142" s="1"/>
  <c r="CU29" i="142" s="1"/>
  <c r="CV28" i="142"/>
  <c r="CW28" i="142"/>
  <c r="I28" i="142"/>
  <c r="L28" i="142" s="1"/>
  <c r="O28" i="142" s="1"/>
  <c r="R28" i="142" s="1"/>
  <c r="U28" i="142" s="1"/>
  <c r="X28" i="142" s="1"/>
  <c r="AA28" i="142" s="1"/>
  <c r="AD28" i="142" s="1"/>
  <c r="AG28" i="142" s="1"/>
  <c r="AJ28" i="142" s="1"/>
  <c r="AM28" i="142" s="1"/>
  <c r="AP28" i="142" s="1"/>
  <c r="AS28" i="142" s="1"/>
  <c r="AV28" i="142" s="1"/>
  <c r="AY28" i="142" s="1"/>
  <c r="BB28" i="142" s="1"/>
  <c r="BE28" i="142" s="1"/>
  <c r="BH28" i="142" s="1"/>
  <c r="BK28" i="142" s="1"/>
  <c r="BN28" i="142" s="1"/>
  <c r="BQ28" i="142" s="1"/>
  <c r="BT28" i="142" s="1"/>
  <c r="BW28" i="142" s="1"/>
  <c r="BZ28" i="142" s="1"/>
  <c r="CC28" i="142" s="1"/>
  <c r="CF28" i="142" s="1"/>
  <c r="CI28" i="142" s="1"/>
  <c r="CL28" i="142" s="1"/>
  <c r="CO28" i="142" s="1"/>
  <c r="CR28" i="142" s="1"/>
  <c r="CU28" i="142" s="1"/>
  <c r="CV27" i="142"/>
  <c r="CW27" i="142"/>
  <c r="I27" i="142"/>
  <c r="CW26" i="142"/>
  <c r="CV26" i="142"/>
  <c r="I26" i="142"/>
  <c r="L26" i="142" s="1"/>
  <c r="O26" i="142" s="1"/>
  <c r="R26" i="142" s="1"/>
  <c r="U26" i="142" s="1"/>
  <c r="X26" i="142" s="1"/>
  <c r="AA26" i="142" s="1"/>
  <c r="AD26" i="142" s="1"/>
  <c r="AG26" i="142" s="1"/>
  <c r="AJ26" i="142" s="1"/>
  <c r="AM26" i="142" s="1"/>
  <c r="AP26" i="142" s="1"/>
  <c r="AS26" i="142" s="1"/>
  <c r="AV26" i="142" s="1"/>
  <c r="AY26" i="142" s="1"/>
  <c r="BB26" i="142" s="1"/>
  <c r="BE26" i="142" s="1"/>
  <c r="BH26" i="142" s="1"/>
  <c r="BK26" i="142" s="1"/>
  <c r="BN26" i="142" s="1"/>
  <c r="BQ26" i="142" s="1"/>
  <c r="BT26" i="142" s="1"/>
  <c r="BW26" i="142" s="1"/>
  <c r="BZ26" i="142" s="1"/>
  <c r="CC26" i="142" s="1"/>
  <c r="CF26" i="142" s="1"/>
  <c r="CI26" i="142" s="1"/>
  <c r="CL26" i="142" s="1"/>
  <c r="CO26" i="142" s="1"/>
  <c r="CR26" i="142" s="1"/>
  <c r="CU26" i="142" s="1"/>
  <c r="CV25" i="142"/>
  <c r="CW25" i="142"/>
  <c r="I25" i="142"/>
  <c r="L25" i="142" s="1"/>
  <c r="CV24" i="142"/>
  <c r="CW24" i="142"/>
  <c r="I24" i="142"/>
  <c r="CV23" i="142"/>
  <c r="CW23" i="142"/>
  <c r="I23" i="142"/>
  <c r="L23" i="142" s="1"/>
  <c r="O23" i="142" s="1"/>
  <c r="R23" i="142" s="1"/>
  <c r="U23" i="142" s="1"/>
  <c r="X23" i="142" s="1"/>
  <c r="AA23" i="142" s="1"/>
  <c r="AD23" i="142" s="1"/>
  <c r="AG23" i="142" s="1"/>
  <c r="AJ23" i="142" s="1"/>
  <c r="AM23" i="142" s="1"/>
  <c r="AP23" i="142" s="1"/>
  <c r="AS23" i="142" s="1"/>
  <c r="AV23" i="142" s="1"/>
  <c r="AY23" i="142" s="1"/>
  <c r="BB23" i="142" s="1"/>
  <c r="BE23" i="142" s="1"/>
  <c r="BH23" i="142" s="1"/>
  <c r="BK23" i="142" s="1"/>
  <c r="BN23" i="142" s="1"/>
  <c r="BQ23" i="142" s="1"/>
  <c r="BT23" i="142" s="1"/>
  <c r="BW23" i="142" s="1"/>
  <c r="BZ23" i="142" s="1"/>
  <c r="CC23" i="142" s="1"/>
  <c r="CF23" i="142" s="1"/>
  <c r="CI23" i="142" s="1"/>
  <c r="CL23" i="142" s="1"/>
  <c r="CO23" i="142" s="1"/>
  <c r="CR23" i="142" s="1"/>
  <c r="CU23" i="142" s="1"/>
  <c r="CV22" i="142"/>
  <c r="CW22" i="142"/>
  <c r="I22" i="142"/>
  <c r="L22" i="142" s="1"/>
  <c r="O22" i="142" s="1"/>
  <c r="R22" i="142" s="1"/>
  <c r="U22" i="142" s="1"/>
  <c r="X22" i="142" s="1"/>
  <c r="AA22" i="142" s="1"/>
  <c r="AD22" i="142" s="1"/>
  <c r="AG22" i="142" s="1"/>
  <c r="AJ22" i="142" s="1"/>
  <c r="AM22" i="142" s="1"/>
  <c r="AP22" i="142" s="1"/>
  <c r="AS22" i="142" s="1"/>
  <c r="AV22" i="142" s="1"/>
  <c r="AY22" i="142" s="1"/>
  <c r="BB22" i="142" s="1"/>
  <c r="BE22" i="142" s="1"/>
  <c r="BH22" i="142" s="1"/>
  <c r="BK22" i="142" s="1"/>
  <c r="BN22" i="142" s="1"/>
  <c r="BQ22" i="142" s="1"/>
  <c r="BT22" i="142" s="1"/>
  <c r="BW22" i="142" s="1"/>
  <c r="BZ22" i="142" s="1"/>
  <c r="CC22" i="142" s="1"/>
  <c r="CF22" i="142" s="1"/>
  <c r="CI22" i="142" s="1"/>
  <c r="CL22" i="142" s="1"/>
  <c r="CO22" i="142" s="1"/>
  <c r="CR22" i="142" s="1"/>
  <c r="CU22" i="142" s="1"/>
  <c r="CW21" i="142"/>
  <c r="CV21" i="142"/>
  <c r="I21" i="142"/>
  <c r="L21" i="142" s="1"/>
  <c r="O21" i="142" s="1"/>
  <c r="R21" i="142" s="1"/>
  <c r="U21" i="142" s="1"/>
  <c r="X21" i="142" s="1"/>
  <c r="AA21" i="142" s="1"/>
  <c r="AD21" i="142" s="1"/>
  <c r="AG21" i="142" s="1"/>
  <c r="AJ21" i="142" s="1"/>
  <c r="AM21" i="142" s="1"/>
  <c r="AP21" i="142" s="1"/>
  <c r="AS21" i="142" s="1"/>
  <c r="AV21" i="142" s="1"/>
  <c r="AY21" i="142" s="1"/>
  <c r="BB21" i="142" s="1"/>
  <c r="BE21" i="142" s="1"/>
  <c r="BH21" i="142" s="1"/>
  <c r="BK21" i="142" s="1"/>
  <c r="BN21" i="142" s="1"/>
  <c r="BQ21" i="142" s="1"/>
  <c r="BT21" i="142" s="1"/>
  <c r="BW21" i="142" s="1"/>
  <c r="BZ21" i="142" s="1"/>
  <c r="CC21" i="142" s="1"/>
  <c r="CF21" i="142" s="1"/>
  <c r="CI21" i="142" s="1"/>
  <c r="CL21" i="142" s="1"/>
  <c r="CO21" i="142" s="1"/>
  <c r="CR21" i="142" s="1"/>
  <c r="CU21" i="142" s="1"/>
  <c r="CW20" i="142"/>
  <c r="CV20" i="142"/>
  <c r="I20" i="142"/>
  <c r="L20" i="142" s="1"/>
  <c r="O20" i="142" s="1"/>
  <c r="R20" i="142" s="1"/>
  <c r="U20" i="142" s="1"/>
  <c r="X20" i="142" s="1"/>
  <c r="AA20" i="142" s="1"/>
  <c r="AD20" i="142" s="1"/>
  <c r="AG20" i="142" s="1"/>
  <c r="AJ20" i="142" s="1"/>
  <c r="AM20" i="142" s="1"/>
  <c r="AP20" i="142" s="1"/>
  <c r="AS20" i="142" s="1"/>
  <c r="AV20" i="142" s="1"/>
  <c r="AY20" i="142" s="1"/>
  <c r="BB20" i="142" s="1"/>
  <c r="BE20" i="142" s="1"/>
  <c r="BH20" i="142" s="1"/>
  <c r="BK20" i="142" s="1"/>
  <c r="BN20" i="142" s="1"/>
  <c r="BQ20" i="142" s="1"/>
  <c r="BT20" i="142" s="1"/>
  <c r="BW20" i="142" s="1"/>
  <c r="BZ20" i="142" s="1"/>
  <c r="CC20" i="142" s="1"/>
  <c r="CF20" i="142" s="1"/>
  <c r="CI20" i="142" s="1"/>
  <c r="CL20" i="142" s="1"/>
  <c r="CO20" i="142" s="1"/>
  <c r="CR20" i="142" s="1"/>
  <c r="CU20" i="142" s="1"/>
  <c r="CV19" i="142"/>
  <c r="CW19" i="142"/>
  <c r="I19" i="142"/>
  <c r="L19" i="142" s="1"/>
  <c r="O19" i="142" s="1"/>
  <c r="R19" i="142" s="1"/>
  <c r="U19" i="142" s="1"/>
  <c r="X19" i="142" s="1"/>
  <c r="AA19" i="142" s="1"/>
  <c r="AD19" i="142" s="1"/>
  <c r="AG19" i="142" s="1"/>
  <c r="AJ19" i="142" s="1"/>
  <c r="AM19" i="142" s="1"/>
  <c r="AP19" i="142" s="1"/>
  <c r="AS19" i="142" s="1"/>
  <c r="AV19" i="142" s="1"/>
  <c r="AY19" i="142" s="1"/>
  <c r="BB19" i="142" s="1"/>
  <c r="BE19" i="142" s="1"/>
  <c r="BH19" i="142" s="1"/>
  <c r="BK19" i="142" s="1"/>
  <c r="BN19" i="142" s="1"/>
  <c r="BQ19" i="142" s="1"/>
  <c r="BT19" i="142" s="1"/>
  <c r="BW19" i="142" s="1"/>
  <c r="BZ19" i="142" s="1"/>
  <c r="CC19" i="142" s="1"/>
  <c r="CF19" i="142" s="1"/>
  <c r="CI19" i="142" s="1"/>
  <c r="CL19" i="142" s="1"/>
  <c r="CO19" i="142" s="1"/>
  <c r="CR19" i="142" s="1"/>
  <c r="CU19" i="142" s="1"/>
  <c r="CV18" i="142"/>
  <c r="CW18" i="142"/>
  <c r="I18" i="142"/>
  <c r="L18" i="142" s="1"/>
  <c r="O18" i="142" s="1"/>
  <c r="R18" i="142" s="1"/>
  <c r="U18" i="142" s="1"/>
  <c r="X18" i="142" s="1"/>
  <c r="AA18" i="142" s="1"/>
  <c r="AD18" i="142" s="1"/>
  <c r="AG18" i="142" s="1"/>
  <c r="AJ18" i="142" s="1"/>
  <c r="AM18" i="142" s="1"/>
  <c r="AP18" i="142" s="1"/>
  <c r="AS18" i="142" s="1"/>
  <c r="AV18" i="142" s="1"/>
  <c r="AY18" i="142" s="1"/>
  <c r="BB18" i="142" s="1"/>
  <c r="BE18" i="142" s="1"/>
  <c r="BH18" i="142" s="1"/>
  <c r="BK18" i="142" s="1"/>
  <c r="BN18" i="142" s="1"/>
  <c r="BQ18" i="142" s="1"/>
  <c r="BT18" i="142" s="1"/>
  <c r="BW18" i="142" s="1"/>
  <c r="BZ18" i="142" s="1"/>
  <c r="CC18" i="142" s="1"/>
  <c r="CF18" i="142" s="1"/>
  <c r="CI18" i="142" s="1"/>
  <c r="CL18" i="142" s="1"/>
  <c r="CO18" i="142" s="1"/>
  <c r="CR18" i="142" s="1"/>
  <c r="CU18" i="142" s="1"/>
  <c r="CW17" i="142"/>
  <c r="CV17" i="142"/>
  <c r="I17" i="142"/>
  <c r="L17" i="142" s="1"/>
  <c r="O17" i="142" s="1"/>
  <c r="R17" i="142" s="1"/>
  <c r="U17" i="142" s="1"/>
  <c r="X17" i="142" s="1"/>
  <c r="AA17" i="142" s="1"/>
  <c r="AD17" i="142" s="1"/>
  <c r="AG17" i="142" s="1"/>
  <c r="AJ17" i="142" s="1"/>
  <c r="AM17" i="142" s="1"/>
  <c r="AP17" i="142" s="1"/>
  <c r="AS17" i="142" s="1"/>
  <c r="AV17" i="142" s="1"/>
  <c r="AY17" i="142" s="1"/>
  <c r="BB17" i="142" s="1"/>
  <c r="BE17" i="142" s="1"/>
  <c r="BH17" i="142" s="1"/>
  <c r="BK17" i="142" s="1"/>
  <c r="BN17" i="142" s="1"/>
  <c r="BQ17" i="142" s="1"/>
  <c r="BT17" i="142" s="1"/>
  <c r="BW17" i="142" s="1"/>
  <c r="BZ17" i="142" s="1"/>
  <c r="CC17" i="142" s="1"/>
  <c r="CF17" i="142" s="1"/>
  <c r="CI17" i="142" s="1"/>
  <c r="CL17" i="142" s="1"/>
  <c r="CO17" i="142" s="1"/>
  <c r="CR17" i="142" s="1"/>
  <c r="CU17" i="142" s="1"/>
  <c r="CV16" i="142"/>
  <c r="I16" i="142"/>
  <c r="L16" i="142" s="1"/>
  <c r="O16" i="142" s="1"/>
  <c r="R16" i="142" s="1"/>
  <c r="U16" i="142" s="1"/>
  <c r="X16" i="142" s="1"/>
  <c r="AA16" i="142" s="1"/>
  <c r="AD16" i="142" s="1"/>
  <c r="AG16" i="142" s="1"/>
  <c r="AJ16" i="142" s="1"/>
  <c r="AM16" i="142" s="1"/>
  <c r="AP16" i="142" s="1"/>
  <c r="AS16" i="142" s="1"/>
  <c r="AV16" i="142" s="1"/>
  <c r="AY16" i="142" s="1"/>
  <c r="BB16" i="142" s="1"/>
  <c r="BE16" i="142" s="1"/>
  <c r="BH16" i="142" s="1"/>
  <c r="BK16" i="142" s="1"/>
  <c r="BN16" i="142" s="1"/>
  <c r="BQ16" i="142" s="1"/>
  <c r="BT16" i="142" s="1"/>
  <c r="BW16" i="142" s="1"/>
  <c r="BZ16" i="142" s="1"/>
  <c r="CC16" i="142" s="1"/>
  <c r="CF16" i="142" s="1"/>
  <c r="CI16" i="142" s="1"/>
  <c r="CL16" i="142" s="1"/>
  <c r="CO16" i="142" s="1"/>
  <c r="CR16" i="142" s="1"/>
  <c r="CU16" i="142" s="1"/>
  <c r="CV15" i="142"/>
  <c r="I15" i="142"/>
  <c r="CV14" i="142"/>
  <c r="CW14" i="142"/>
  <c r="I14" i="142"/>
  <c r="L14" i="142" s="1"/>
  <c r="O14" i="142" s="1"/>
  <c r="R14" i="142" s="1"/>
  <c r="U14" i="142" s="1"/>
  <c r="X14" i="142" s="1"/>
  <c r="AA14" i="142" s="1"/>
  <c r="AD14" i="142" s="1"/>
  <c r="AG14" i="142" s="1"/>
  <c r="AJ14" i="142" s="1"/>
  <c r="AM14" i="142" s="1"/>
  <c r="AP14" i="142" s="1"/>
  <c r="AS14" i="142" s="1"/>
  <c r="AV14" i="142" s="1"/>
  <c r="AY14" i="142" s="1"/>
  <c r="BB14" i="142" s="1"/>
  <c r="BE14" i="142" s="1"/>
  <c r="BH14" i="142" s="1"/>
  <c r="BK14" i="142" s="1"/>
  <c r="BN14" i="142" s="1"/>
  <c r="BQ14" i="142" s="1"/>
  <c r="BT14" i="142" s="1"/>
  <c r="BW14" i="142" s="1"/>
  <c r="BZ14" i="142" s="1"/>
  <c r="CC14" i="142" s="1"/>
  <c r="CF14" i="142" s="1"/>
  <c r="CI14" i="142" s="1"/>
  <c r="CL14" i="142" s="1"/>
  <c r="CO14" i="142" s="1"/>
  <c r="CR14" i="142" s="1"/>
  <c r="CU14" i="142" s="1"/>
  <c r="CV13" i="142"/>
  <c r="CW13" i="142"/>
  <c r="I13" i="142"/>
  <c r="L13" i="142" s="1"/>
  <c r="O13" i="142" s="1"/>
  <c r="R13" i="142" s="1"/>
  <c r="U13" i="142" s="1"/>
  <c r="X13" i="142" s="1"/>
  <c r="AA13" i="142" s="1"/>
  <c r="AD13" i="142" s="1"/>
  <c r="AG13" i="142" s="1"/>
  <c r="AJ13" i="142" s="1"/>
  <c r="AM13" i="142" s="1"/>
  <c r="AP13" i="142" s="1"/>
  <c r="AS13" i="142" s="1"/>
  <c r="AV13" i="142" s="1"/>
  <c r="AY13" i="142" s="1"/>
  <c r="BB13" i="142" s="1"/>
  <c r="BE13" i="142" s="1"/>
  <c r="BH13" i="142" s="1"/>
  <c r="BK13" i="142" s="1"/>
  <c r="BN13" i="142" s="1"/>
  <c r="BQ13" i="142" s="1"/>
  <c r="BT13" i="142" s="1"/>
  <c r="BW13" i="142" s="1"/>
  <c r="BZ13" i="142" s="1"/>
  <c r="CC13" i="142" s="1"/>
  <c r="CF13" i="142" s="1"/>
  <c r="CI13" i="142" s="1"/>
  <c r="CL13" i="142" s="1"/>
  <c r="CO13" i="142" s="1"/>
  <c r="CR13" i="142" s="1"/>
  <c r="CU13" i="142" s="1"/>
  <c r="CV12" i="142"/>
  <c r="I12" i="142"/>
  <c r="CW11" i="142"/>
  <c r="CV11" i="142"/>
  <c r="I11" i="142"/>
  <c r="L11" i="142" s="1"/>
  <c r="O11" i="142" s="1"/>
  <c r="R11" i="142" s="1"/>
  <c r="U11" i="142" s="1"/>
  <c r="X11" i="142" s="1"/>
  <c r="AA11" i="142" s="1"/>
  <c r="AD11" i="142" s="1"/>
  <c r="AG11" i="142" s="1"/>
  <c r="AJ11" i="142" s="1"/>
  <c r="AM11" i="142" s="1"/>
  <c r="AP11" i="142" s="1"/>
  <c r="AS11" i="142" s="1"/>
  <c r="AV11" i="142" s="1"/>
  <c r="AY11" i="142" s="1"/>
  <c r="BB11" i="142" s="1"/>
  <c r="BE11" i="142" s="1"/>
  <c r="BH11" i="142" s="1"/>
  <c r="BK11" i="142" s="1"/>
  <c r="BN11" i="142" s="1"/>
  <c r="BQ11" i="142" s="1"/>
  <c r="BT11" i="142" s="1"/>
  <c r="BW11" i="142" s="1"/>
  <c r="BZ11" i="142" s="1"/>
  <c r="CC11" i="142" s="1"/>
  <c r="CF11" i="142" s="1"/>
  <c r="CI11" i="142" s="1"/>
  <c r="CL11" i="142" s="1"/>
  <c r="CO11" i="142" s="1"/>
  <c r="CR11" i="142" s="1"/>
  <c r="CU11" i="142" s="1"/>
  <c r="CW10" i="142"/>
  <c r="CV10" i="142"/>
  <c r="I10" i="142"/>
  <c r="L10" i="142" s="1"/>
  <c r="O10" i="142" s="1"/>
  <c r="R10" i="142" s="1"/>
  <c r="U10" i="142" s="1"/>
  <c r="X10" i="142" s="1"/>
  <c r="AA10" i="142" s="1"/>
  <c r="AD10" i="142" s="1"/>
  <c r="AG10" i="142" s="1"/>
  <c r="AJ10" i="142" s="1"/>
  <c r="AM10" i="142" s="1"/>
  <c r="AP10" i="142" s="1"/>
  <c r="AS10" i="142" s="1"/>
  <c r="AV10" i="142" s="1"/>
  <c r="AY10" i="142" s="1"/>
  <c r="BB10" i="142" s="1"/>
  <c r="BE10" i="142" s="1"/>
  <c r="BH10" i="142" s="1"/>
  <c r="BK10" i="142" s="1"/>
  <c r="BN10" i="142" s="1"/>
  <c r="BQ10" i="142" s="1"/>
  <c r="BT10" i="142" s="1"/>
  <c r="BW10" i="142" s="1"/>
  <c r="BZ10" i="142" s="1"/>
  <c r="CC10" i="142" s="1"/>
  <c r="CF10" i="142" s="1"/>
  <c r="CI10" i="142" s="1"/>
  <c r="CL10" i="142" s="1"/>
  <c r="CO10" i="142" s="1"/>
  <c r="CR10" i="142" s="1"/>
  <c r="CU10" i="142" s="1"/>
  <c r="CW9" i="142"/>
  <c r="CV9" i="142"/>
  <c r="I9" i="142"/>
  <c r="L9" i="142" s="1"/>
  <c r="O9" i="142" s="1"/>
  <c r="R9" i="142" s="1"/>
  <c r="U9" i="142" s="1"/>
  <c r="X9" i="142" s="1"/>
  <c r="AA9" i="142" s="1"/>
  <c r="AD9" i="142" s="1"/>
  <c r="AG9" i="142" s="1"/>
  <c r="AJ9" i="142" s="1"/>
  <c r="AM9" i="142" s="1"/>
  <c r="AP9" i="142" s="1"/>
  <c r="AS9" i="142" s="1"/>
  <c r="AV9" i="142" s="1"/>
  <c r="AY9" i="142" s="1"/>
  <c r="BB9" i="142" s="1"/>
  <c r="BE9" i="142" s="1"/>
  <c r="BH9" i="142" s="1"/>
  <c r="BK9" i="142" s="1"/>
  <c r="BN9" i="142" s="1"/>
  <c r="BQ9" i="142" s="1"/>
  <c r="BT9" i="142" s="1"/>
  <c r="BW9" i="142" s="1"/>
  <c r="BZ9" i="142" s="1"/>
  <c r="CC9" i="142" s="1"/>
  <c r="CF9" i="142" s="1"/>
  <c r="CI9" i="142" s="1"/>
  <c r="CL9" i="142" s="1"/>
  <c r="CO9" i="142" s="1"/>
  <c r="CR9" i="142" s="1"/>
  <c r="CU9" i="142" s="1"/>
  <c r="CV8" i="142"/>
  <c r="CW8" i="142"/>
  <c r="I8" i="142"/>
  <c r="L8" i="142" s="1"/>
  <c r="O8" i="142" s="1"/>
  <c r="R8" i="142" s="1"/>
  <c r="U8" i="142" s="1"/>
  <c r="X8" i="142" s="1"/>
  <c r="AA8" i="142" s="1"/>
  <c r="AD8" i="142" s="1"/>
  <c r="AG8" i="142" s="1"/>
  <c r="AJ8" i="142" s="1"/>
  <c r="AM8" i="142" s="1"/>
  <c r="AP8" i="142" s="1"/>
  <c r="AS8" i="142" s="1"/>
  <c r="AV8" i="142" s="1"/>
  <c r="AY8" i="142" s="1"/>
  <c r="BB8" i="142" s="1"/>
  <c r="BE8" i="142" s="1"/>
  <c r="BH8" i="142" s="1"/>
  <c r="BK8" i="142" s="1"/>
  <c r="BN8" i="142" s="1"/>
  <c r="BQ8" i="142" s="1"/>
  <c r="BT8" i="142" s="1"/>
  <c r="BW8" i="142" s="1"/>
  <c r="BZ8" i="142" s="1"/>
  <c r="CC8" i="142" s="1"/>
  <c r="CF8" i="142" s="1"/>
  <c r="CI8" i="142" s="1"/>
  <c r="CL8" i="142" s="1"/>
  <c r="CO8" i="142" s="1"/>
  <c r="CR8" i="142" s="1"/>
  <c r="CU8" i="142" s="1"/>
  <c r="CW7" i="142"/>
  <c r="CV7" i="142"/>
  <c r="I7" i="142"/>
  <c r="L7" i="142" s="1"/>
  <c r="O7" i="142" s="1"/>
  <c r="R7" i="142" s="1"/>
  <c r="U7" i="142" s="1"/>
  <c r="X7" i="142" s="1"/>
  <c r="AA7" i="142" s="1"/>
  <c r="AD7" i="142" s="1"/>
  <c r="AG7" i="142" s="1"/>
  <c r="AJ7" i="142" s="1"/>
  <c r="AM7" i="142" s="1"/>
  <c r="AP7" i="142" s="1"/>
  <c r="AS7" i="142" s="1"/>
  <c r="AV7" i="142" s="1"/>
  <c r="AY7" i="142" s="1"/>
  <c r="BB7" i="142" s="1"/>
  <c r="BE7" i="142" s="1"/>
  <c r="BH7" i="142" s="1"/>
  <c r="BK7" i="142" s="1"/>
  <c r="BN7" i="142" s="1"/>
  <c r="BQ7" i="142" s="1"/>
  <c r="BT7" i="142" s="1"/>
  <c r="BW7" i="142" s="1"/>
  <c r="BZ7" i="142" s="1"/>
  <c r="CC7" i="142" s="1"/>
  <c r="CF7" i="142" s="1"/>
  <c r="CI7" i="142" s="1"/>
  <c r="CL7" i="142" s="1"/>
  <c r="CO7" i="142" s="1"/>
  <c r="CR7" i="142" s="1"/>
  <c r="CU7" i="142" s="1"/>
  <c r="CW6" i="142"/>
  <c r="CV6" i="142"/>
  <c r="I6" i="142"/>
  <c r="L6" i="142" s="1"/>
  <c r="O6" i="142" s="1"/>
  <c r="R6" i="142" s="1"/>
  <c r="U6" i="142" s="1"/>
  <c r="X6" i="142" s="1"/>
  <c r="AA6" i="142" s="1"/>
  <c r="AD6" i="142" s="1"/>
  <c r="AG6" i="142" s="1"/>
  <c r="AJ6" i="142" s="1"/>
  <c r="AM6" i="142" s="1"/>
  <c r="AP6" i="142" s="1"/>
  <c r="AS6" i="142" s="1"/>
  <c r="AV6" i="142" s="1"/>
  <c r="AY6" i="142" s="1"/>
  <c r="BB6" i="142" s="1"/>
  <c r="BE6" i="142" s="1"/>
  <c r="BH6" i="142" s="1"/>
  <c r="BK6" i="142" s="1"/>
  <c r="BN6" i="142" s="1"/>
  <c r="BQ6" i="142" s="1"/>
  <c r="BT6" i="142" s="1"/>
  <c r="BW6" i="142" s="1"/>
  <c r="BZ6" i="142" s="1"/>
  <c r="CC6" i="142" s="1"/>
  <c r="CF6" i="142" s="1"/>
  <c r="CI6" i="142" s="1"/>
  <c r="CL6" i="142" s="1"/>
  <c r="CO6" i="142" s="1"/>
  <c r="CR6" i="142" s="1"/>
  <c r="CU6" i="142" s="1"/>
  <c r="CW5" i="142"/>
  <c r="CV5" i="142"/>
  <c r="I5" i="142"/>
  <c r="L5" i="142" s="1"/>
  <c r="O5" i="142" s="1"/>
  <c r="R5" i="142" s="1"/>
  <c r="U5" i="142" s="1"/>
  <c r="X5" i="142" s="1"/>
  <c r="AA5" i="142" s="1"/>
  <c r="AD5" i="142" s="1"/>
  <c r="AG5" i="142" s="1"/>
  <c r="AJ5" i="142" s="1"/>
  <c r="AM5" i="142" s="1"/>
  <c r="AP5" i="142" s="1"/>
  <c r="AS5" i="142" s="1"/>
  <c r="AV5" i="142" s="1"/>
  <c r="AY5" i="142" s="1"/>
  <c r="BB5" i="142" s="1"/>
  <c r="BE5" i="142" s="1"/>
  <c r="BH5" i="142" s="1"/>
  <c r="BK5" i="142" s="1"/>
  <c r="BN5" i="142" s="1"/>
  <c r="BQ5" i="142" s="1"/>
  <c r="BT5" i="142" s="1"/>
  <c r="BW5" i="142" s="1"/>
  <c r="BZ5" i="142" s="1"/>
  <c r="CC5" i="142" s="1"/>
  <c r="CF5" i="142" s="1"/>
  <c r="CI5" i="142" s="1"/>
  <c r="CL5" i="142" s="1"/>
  <c r="CO5" i="142" s="1"/>
  <c r="CR5" i="142" s="1"/>
  <c r="CU5" i="142" s="1"/>
  <c r="L77" i="142" l="1"/>
  <c r="O77" i="142" s="1"/>
  <c r="R77" i="142" s="1"/>
  <c r="U77" i="142" s="1"/>
  <c r="X77" i="142" s="1"/>
  <c r="AA77" i="142" s="1"/>
  <c r="AD77" i="142" s="1"/>
  <c r="AG77" i="142" s="1"/>
  <c r="AJ77" i="142" s="1"/>
  <c r="AM77" i="142" s="1"/>
  <c r="AP77" i="142" s="1"/>
  <c r="AS77" i="142" s="1"/>
  <c r="AV77" i="142" s="1"/>
  <c r="AY77" i="142" s="1"/>
  <c r="BB77" i="142" s="1"/>
  <c r="BE77" i="142" s="1"/>
  <c r="BH77" i="142" s="1"/>
  <c r="BK77" i="142" s="1"/>
  <c r="BN77" i="142" s="1"/>
  <c r="BQ77" i="142" s="1"/>
  <c r="BT77" i="142" s="1"/>
  <c r="BW77" i="142" s="1"/>
  <c r="BZ77" i="142" s="1"/>
  <c r="CC77" i="142" s="1"/>
  <c r="CF77" i="142" s="1"/>
  <c r="CI77" i="142" s="1"/>
  <c r="CL77" i="142" s="1"/>
  <c r="CO77" i="142" s="1"/>
  <c r="CR77" i="142" s="1"/>
  <c r="CU77" i="142" s="1"/>
  <c r="DB77" i="142" s="1"/>
  <c r="DE77" i="142" s="1"/>
  <c r="L12" i="142"/>
  <c r="O12" i="142" s="1"/>
  <c r="R12" i="142" s="1"/>
  <c r="U12" i="142" s="1"/>
  <c r="X12" i="142" s="1"/>
  <c r="AA12" i="142" s="1"/>
  <c r="AD12" i="142" s="1"/>
  <c r="AG12" i="142" s="1"/>
  <c r="AJ12" i="142" s="1"/>
  <c r="AM12" i="142" s="1"/>
  <c r="AP12" i="142" s="1"/>
  <c r="AS12" i="142" s="1"/>
  <c r="AV12" i="142" s="1"/>
  <c r="AY12" i="142" s="1"/>
  <c r="BB12" i="142" s="1"/>
  <c r="BE12" i="142" s="1"/>
  <c r="BH12" i="142" s="1"/>
  <c r="BK12" i="142" s="1"/>
  <c r="BN12" i="142" s="1"/>
  <c r="BQ12" i="142" s="1"/>
  <c r="BT12" i="142" s="1"/>
  <c r="BW12" i="142" s="1"/>
  <c r="BZ12" i="142" s="1"/>
  <c r="CC12" i="142" s="1"/>
  <c r="CF12" i="142" s="1"/>
  <c r="CI12" i="142" s="1"/>
  <c r="CL12" i="142" s="1"/>
  <c r="CO12" i="142" s="1"/>
  <c r="CR12" i="142" s="1"/>
  <c r="CU12" i="142" s="1"/>
  <c r="CX12" i="142" s="1"/>
  <c r="CZ12" i="142" s="1"/>
  <c r="DB32" i="142"/>
  <c r="DE32" i="142" s="1"/>
  <c r="CX32" i="142"/>
  <c r="CZ32" i="142" s="1"/>
  <c r="DB44" i="142"/>
  <c r="DE44" i="142" s="1"/>
  <c r="CX44" i="142"/>
  <c r="CZ44" i="142" s="1"/>
  <c r="DB51" i="142"/>
  <c r="DE51" i="142" s="1"/>
  <c r="CX51" i="142"/>
  <c r="CZ51" i="142" s="1"/>
  <c r="DB54" i="142"/>
  <c r="DE54" i="142" s="1"/>
  <c r="CX54" i="142"/>
  <c r="CZ54" i="142" s="1"/>
  <c r="CX39" i="142"/>
  <c r="CZ39" i="142" s="1"/>
  <c r="DB39" i="142"/>
  <c r="DE39" i="142" s="1"/>
  <c r="CX45" i="142"/>
  <c r="CZ45" i="142" s="1"/>
  <c r="DB45" i="142"/>
  <c r="DE45" i="142" s="1"/>
  <c r="DB52" i="142"/>
  <c r="DE52" i="142" s="1"/>
  <c r="CX52" i="142"/>
  <c r="CZ52" i="142" s="1"/>
  <c r="CX18" i="142"/>
  <c r="CZ18" i="142" s="1"/>
  <c r="DB18" i="142"/>
  <c r="DE18" i="142" s="1"/>
  <c r="CX5" i="142"/>
  <c r="CZ5" i="142" s="1"/>
  <c r="DB5" i="142"/>
  <c r="DE5" i="142" s="1"/>
  <c r="DB16" i="142"/>
  <c r="DE16" i="142" s="1"/>
  <c r="CX16" i="142"/>
  <c r="CZ16" i="142" s="1"/>
  <c r="DB69" i="142"/>
  <c r="DE69" i="142" s="1"/>
  <c r="CX69" i="142"/>
  <c r="CZ69" i="142" s="1"/>
  <c r="DB20" i="142"/>
  <c r="DE20" i="142" s="1"/>
  <c r="CX20" i="142"/>
  <c r="CZ20" i="142" s="1"/>
  <c r="CX33" i="142"/>
  <c r="CZ33" i="142" s="1"/>
  <c r="DB33" i="142"/>
  <c r="DE33" i="142" s="1"/>
  <c r="DB41" i="142"/>
  <c r="DE41" i="142" s="1"/>
  <c r="CX41" i="142"/>
  <c r="CZ41" i="142" s="1"/>
  <c r="CX67" i="142"/>
  <c r="CZ67" i="142" s="1"/>
  <c r="DB67" i="142"/>
  <c r="DE67" i="142" s="1"/>
  <c r="DB10" i="142"/>
  <c r="DE10" i="142" s="1"/>
  <c r="CX10" i="142"/>
  <c r="CZ10" i="142" s="1"/>
  <c r="CX21" i="142"/>
  <c r="CZ21" i="142" s="1"/>
  <c r="DB21" i="142"/>
  <c r="DE21" i="142" s="1"/>
  <c r="DB37" i="142"/>
  <c r="DE37" i="142" s="1"/>
  <c r="CX37" i="142"/>
  <c r="CZ37" i="142" s="1"/>
  <c r="DB28" i="142"/>
  <c r="DE28" i="142" s="1"/>
  <c r="CX28" i="142"/>
  <c r="CZ28" i="142" s="1"/>
  <c r="DB6" i="142"/>
  <c r="DE6" i="142" s="1"/>
  <c r="CX6" i="142"/>
  <c r="CZ6" i="142" s="1"/>
  <c r="CX11" i="142"/>
  <c r="CZ11" i="142" s="1"/>
  <c r="DB11" i="142"/>
  <c r="DE11" i="142" s="1"/>
  <c r="DB53" i="142"/>
  <c r="DE53" i="142" s="1"/>
  <c r="CX53" i="142"/>
  <c r="CZ53" i="142" s="1"/>
  <c r="DB55" i="142"/>
  <c r="DE55" i="142" s="1"/>
  <c r="CX55" i="142"/>
  <c r="CZ55" i="142" s="1"/>
  <c r="DB42" i="142"/>
  <c r="DE42" i="142" s="1"/>
  <c r="CX42" i="142"/>
  <c r="CZ42" i="142" s="1"/>
  <c r="DB7" i="142"/>
  <c r="DE7" i="142" s="1"/>
  <c r="CX7" i="142"/>
  <c r="CZ7" i="142" s="1"/>
  <c r="CX30" i="142"/>
  <c r="CZ30" i="142" s="1"/>
  <c r="DB30" i="142"/>
  <c r="DE30" i="142" s="1"/>
  <c r="DB19" i="142"/>
  <c r="DE19" i="142" s="1"/>
  <c r="CX19" i="142"/>
  <c r="CZ19" i="142" s="1"/>
  <c r="CX34" i="142"/>
  <c r="CZ34" i="142" s="1"/>
  <c r="DB34" i="142"/>
  <c r="DE34" i="142" s="1"/>
  <c r="CX46" i="142"/>
  <c r="CZ46" i="142" s="1"/>
  <c r="DB46" i="142"/>
  <c r="DE46" i="142" s="1"/>
  <c r="CX64" i="142"/>
  <c r="CZ64" i="142" s="1"/>
  <c r="DB64" i="142"/>
  <c r="DE64" i="142" s="1"/>
  <c r="CX38" i="142"/>
  <c r="CZ38" i="142" s="1"/>
  <c r="DB38" i="142"/>
  <c r="DE38" i="142" s="1"/>
  <c r="CX14" i="142"/>
  <c r="CZ14" i="142" s="1"/>
  <c r="DB14" i="142"/>
  <c r="DE14" i="142" s="1"/>
  <c r="DB48" i="142"/>
  <c r="DE48" i="142" s="1"/>
  <c r="CX48" i="142"/>
  <c r="CZ48" i="142" s="1"/>
  <c r="CX56" i="142"/>
  <c r="CZ56" i="142" s="1"/>
  <c r="DB56" i="142"/>
  <c r="DE56" i="142" s="1"/>
  <c r="DB8" i="142"/>
  <c r="DE8" i="142" s="1"/>
  <c r="CX8" i="142"/>
  <c r="CZ8" i="142" s="1"/>
  <c r="DB23" i="142"/>
  <c r="DE23" i="142" s="1"/>
  <c r="CX23" i="142"/>
  <c r="CZ23" i="142" s="1"/>
  <c r="CX50" i="142"/>
  <c r="CZ50" i="142" s="1"/>
  <c r="DB50" i="142"/>
  <c r="DE50" i="142" s="1"/>
  <c r="DB29" i="142"/>
  <c r="DE29" i="142" s="1"/>
  <c r="CX29" i="142"/>
  <c r="CZ29" i="142" s="1"/>
  <c r="DB22" i="142"/>
  <c r="DE22" i="142" s="1"/>
  <c r="CX22" i="142"/>
  <c r="CZ22" i="142" s="1"/>
  <c r="CX31" i="142"/>
  <c r="CZ31" i="142" s="1"/>
  <c r="DB31" i="142"/>
  <c r="DE31" i="142" s="1"/>
  <c r="CX35" i="142"/>
  <c r="CZ35" i="142" s="1"/>
  <c r="DB35" i="142"/>
  <c r="DE35" i="142" s="1"/>
  <c r="DB47" i="142"/>
  <c r="DE47" i="142" s="1"/>
  <c r="CX47" i="142"/>
  <c r="CZ47" i="142" s="1"/>
  <c r="CX9" i="142"/>
  <c r="CZ9" i="142" s="1"/>
  <c r="DB9" i="142"/>
  <c r="DE9" i="142" s="1"/>
  <c r="CX13" i="142"/>
  <c r="CZ13" i="142" s="1"/>
  <c r="DB13" i="142"/>
  <c r="DE13" i="142" s="1"/>
  <c r="DB17" i="142"/>
  <c r="DE17" i="142" s="1"/>
  <c r="CX17" i="142"/>
  <c r="CZ17" i="142" s="1"/>
  <c r="CX26" i="142"/>
  <c r="CZ26" i="142" s="1"/>
  <c r="DB26" i="142"/>
  <c r="DE26" i="142" s="1"/>
  <c r="CX43" i="142"/>
  <c r="CZ43" i="142" s="1"/>
  <c r="DB43" i="142"/>
  <c r="DE43" i="142" s="1"/>
  <c r="O25" i="142"/>
  <c r="R25" i="142" s="1"/>
  <c r="U25" i="142" s="1"/>
  <c r="X25" i="142" s="1"/>
  <c r="AA25" i="142" s="1"/>
  <c r="AD25" i="142" s="1"/>
  <c r="AG25" i="142" s="1"/>
  <c r="AJ25" i="142" s="1"/>
  <c r="AM25" i="142" s="1"/>
  <c r="AP25" i="142" s="1"/>
  <c r="AS25" i="142" s="1"/>
  <c r="AV25" i="142" s="1"/>
  <c r="AY25" i="142" s="1"/>
  <c r="BB25" i="142" s="1"/>
  <c r="BE25" i="142" s="1"/>
  <c r="BH25" i="142" s="1"/>
  <c r="BK25" i="142" s="1"/>
  <c r="BN25" i="142" s="1"/>
  <c r="BQ25" i="142" s="1"/>
  <c r="BT25" i="142" s="1"/>
  <c r="BW25" i="142" s="1"/>
  <c r="BZ25" i="142" s="1"/>
  <c r="CC25" i="142" s="1"/>
  <c r="CF25" i="142" s="1"/>
  <c r="CI25" i="142" s="1"/>
  <c r="CL25" i="142" s="1"/>
  <c r="CO25" i="142" s="1"/>
  <c r="CR25" i="142" s="1"/>
  <c r="CU25" i="142" s="1"/>
  <c r="DB71" i="142"/>
  <c r="DE71" i="142" s="1"/>
  <c r="CX71" i="142"/>
  <c r="CZ71" i="142" s="1"/>
  <c r="DB90" i="142"/>
  <c r="DE90" i="142" s="1"/>
  <c r="CX90" i="142"/>
  <c r="CZ90" i="142" s="1"/>
  <c r="CW16" i="142"/>
  <c r="CX57" i="142"/>
  <c r="CZ57" i="142" s="1"/>
  <c r="DB57" i="142"/>
  <c r="DE57" i="142" s="1"/>
  <c r="CX81" i="142"/>
  <c r="CZ81" i="142" s="1"/>
  <c r="DB81" i="142"/>
  <c r="DE81" i="142" s="1"/>
  <c r="CX91" i="142"/>
  <c r="CZ91" i="142" s="1"/>
  <c r="DB91" i="142"/>
  <c r="DE91" i="142" s="1"/>
  <c r="DB66" i="142"/>
  <c r="DE66" i="142" s="1"/>
  <c r="CX66" i="142"/>
  <c r="CZ66" i="142" s="1"/>
  <c r="DB61" i="142"/>
  <c r="DE61" i="142" s="1"/>
  <c r="CX61" i="142"/>
  <c r="CZ61" i="142" s="1"/>
  <c r="CW12" i="142"/>
  <c r="CW15" i="142"/>
  <c r="L15" i="142"/>
  <c r="O15" i="142" s="1"/>
  <c r="R15" i="142" s="1"/>
  <c r="U15" i="142" s="1"/>
  <c r="X15" i="142" s="1"/>
  <c r="AA15" i="142" s="1"/>
  <c r="AD15" i="142" s="1"/>
  <c r="AG15" i="142" s="1"/>
  <c r="AJ15" i="142" s="1"/>
  <c r="AM15" i="142" s="1"/>
  <c r="AP15" i="142" s="1"/>
  <c r="AS15" i="142" s="1"/>
  <c r="AV15" i="142" s="1"/>
  <c r="AY15" i="142" s="1"/>
  <c r="BB15" i="142" s="1"/>
  <c r="BE15" i="142" s="1"/>
  <c r="BH15" i="142" s="1"/>
  <c r="BK15" i="142" s="1"/>
  <c r="BN15" i="142" s="1"/>
  <c r="BQ15" i="142" s="1"/>
  <c r="BT15" i="142" s="1"/>
  <c r="BW15" i="142" s="1"/>
  <c r="BZ15" i="142" s="1"/>
  <c r="CC15" i="142" s="1"/>
  <c r="CF15" i="142" s="1"/>
  <c r="CI15" i="142" s="1"/>
  <c r="CL15" i="142" s="1"/>
  <c r="CO15" i="142" s="1"/>
  <c r="CR15" i="142" s="1"/>
  <c r="CU15" i="142" s="1"/>
  <c r="CV39" i="142"/>
  <c r="L27" i="142"/>
  <c r="O27" i="142" s="1"/>
  <c r="R27" i="142" s="1"/>
  <c r="U27" i="142" s="1"/>
  <c r="X27" i="142" s="1"/>
  <c r="AA27" i="142" s="1"/>
  <c r="AD27" i="142" s="1"/>
  <c r="AG27" i="142" s="1"/>
  <c r="AJ27" i="142" s="1"/>
  <c r="AM27" i="142" s="1"/>
  <c r="AP27" i="142" s="1"/>
  <c r="AS27" i="142" s="1"/>
  <c r="AV27" i="142" s="1"/>
  <c r="AY27" i="142" s="1"/>
  <c r="BB27" i="142" s="1"/>
  <c r="BE27" i="142" s="1"/>
  <c r="BH27" i="142" s="1"/>
  <c r="BK27" i="142" s="1"/>
  <c r="BN27" i="142" s="1"/>
  <c r="BQ27" i="142" s="1"/>
  <c r="BT27" i="142" s="1"/>
  <c r="BW27" i="142" s="1"/>
  <c r="BZ27" i="142" s="1"/>
  <c r="CC27" i="142" s="1"/>
  <c r="CF27" i="142" s="1"/>
  <c r="CI27" i="142" s="1"/>
  <c r="CL27" i="142" s="1"/>
  <c r="CO27" i="142" s="1"/>
  <c r="CR27" i="142" s="1"/>
  <c r="CU27" i="142" s="1"/>
  <c r="U36" i="142"/>
  <c r="X36" i="142" s="1"/>
  <c r="AA36" i="142" s="1"/>
  <c r="AD36" i="142" s="1"/>
  <c r="AG36" i="142" s="1"/>
  <c r="AJ36" i="142" s="1"/>
  <c r="AM36" i="142" s="1"/>
  <c r="AP36" i="142" s="1"/>
  <c r="AS36" i="142" s="1"/>
  <c r="AV36" i="142" s="1"/>
  <c r="AY36" i="142" s="1"/>
  <c r="BB36" i="142" s="1"/>
  <c r="BE36" i="142" s="1"/>
  <c r="BH36" i="142" s="1"/>
  <c r="BK36" i="142" s="1"/>
  <c r="BN36" i="142" s="1"/>
  <c r="BQ36" i="142" s="1"/>
  <c r="BT36" i="142" s="1"/>
  <c r="BW36" i="142" s="1"/>
  <c r="BZ36" i="142" s="1"/>
  <c r="CC36" i="142" s="1"/>
  <c r="CF36" i="142" s="1"/>
  <c r="CI36" i="142" s="1"/>
  <c r="CL36" i="142" s="1"/>
  <c r="CO36" i="142" s="1"/>
  <c r="CR36" i="142" s="1"/>
  <c r="CU36" i="142" s="1"/>
  <c r="CW39" i="142"/>
  <c r="DB70" i="142"/>
  <c r="DE70" i="142" s="1"/>
  <c r="CX70" i="142"/>
  <c r="CZ70" i="142" s="1"/>
  <c r="DB62" i="142"/>
  <c r="DE62" i="142" s="1"/>
  <c r="CX62" i="142"/>
  <c r="CZ62" i="142" s="1"/>
  <c r="CV36" i="142"/>
  <c r="DB72" i="142"/>
  <c r="DE72" i="142" s="1"/>
  <c r="CX72" i="142"/>
  <c r="CZ72" i="142" s="1"/>
  <c r="CX80" i="142"/>
  <c r="CZ80" i="142" s="1"/>
  <c r="DB80" i="142"/>
  <c r="DE80" i="142" s="1"/>
  <c r="DB65" i="142"/>
  <c r="DE65" i="142" s="1"/>
  <c r="DB75" i="142"/>
  <c r="DE75" i="142" s="1"/>
  <c r="CX75" i="142"/>
  <c r="CZ75" i="142" s="1"/>
  <c r="L63" i="142"/>
  <c r="O63" i="142" s="1"/>
  <c r="R63" i="142" s="1"/>
  <c r="U63" i="142" s="1"/>
  <c r="X63" i="142" s="1"/>
  <c r="AA63" i="142" s="1"/>
  <c r="AD63" i="142" s="1"/>
  <c r="AG63" i="142" s="1"/>
  <c r="AJ63" i="142" s="1"/>
  <c r="AM63" i="142" s="1"/>
  <c r="AP63" i="142" s="1"/>
  <c r="AS63" i="142" s="1"/>
  <c r="AV63" i="142" s="1"/>
  <c r="AY63" i="142" s="1"/>
  <c r="BB63" i="142" s="1"/>
  <c r="BE63" i="142" s="1"/>
  <c r="BH63" i="142" s="1"/>
  <c r="BK63" i="142" s="1"/>
  <c r="BN63" i="142" s="1"/>
  <c r="BQ63" i="142" s="1"/>
  <c r="BT63" i="142" s="1"/>
  <c r="BW63" i="142" s="1"/>
  <c r="BZ63" i="142" s="1"/>
  <c r="CC63" i="142" s="1"/>
  <c r="CF63" i="142" s="1"/>
  <c r="CI63" i="142" s="1"/>
  <c r="CL63" i="142" s="1"/>
  <c r="CO63" i="142" s="1"/>
  <c r="CR63" i="142" s="1"/>
  <c r="CU63" i="142" s="1"/>
  <c r="CW63" i="142"/>
  <c r="L24" i="142"/>
  <c r="O24" i="142" s="1"/>
  <c r="R24" i="142" s="1"/>
  <c r="U24" i="142" s="1"/>
  <c r="X24" i="142" s="1"/>
  <c r="AA24" i="142" s="1"/>
  <c r="AD24" i="142" s="1"/>
  <c r="AG24" i="142" s="1"/>
  <c r="AJ24" i="142" s="1"/>
  <c r="AM24" i="142" s="1"/>
  <c r="AP24" i="142" s="1"/>
  <c r="AS24" i="142" s="1"/>
  <c r="AV24" i="142" s="1"/>
  <c r="AY24" i="142" s="1"/>
  <c r="BB24" i="142" s="1"/>
  <c r="BE24" i="142" s="1"/>
  <c r="BH24" i="142" s="1"/>
  <c r="BK24" i="142" s="1"/>
  <c r="BN24" i="142" s="1"/>
  <c r="BQ24" i="142" s="1"/>
  <c r="BT24" i="142" s="1"/>
  <c r="BW24" i="142" s="1"/>
  <c r="BZ24" i="142" s="1"/>
  <c r="CC24" i="142" s="1"/>
  <c r="CF24" i="142" s="1"/>
  <c r="CI24" i="142" s="1"/>
  <c r="CL24" i="142" s="1"/>
  <c r="CO24" i="142" s="1"/>
  <c r="CR24" i="142" s="1"/>
  <c r="CU24" i="142" s="1"/>
  <c r="DB49" i="142"/>
  <c r="DE49" i="142" s="1"/>
  <c r="DB68" i="142"/>
  <c r="DE68" i="142" s="1"/>
  <c r="CX68" i="142"/>
  <c r="CZ68" i="142" s="1"/>
  <c r="DB73" i="142"/>
  <c r="DE73" i="142" s="1"/>
  <c r="CX73" i="142"/>
  <c r="CZ73" i="142" s="1"/>
  <c r="DB86" i="142"/>
  <c r="DE86" i="142" s="1"/>
  <c r="CX86" i="142"/>
  <c r="CZ86" i="142" s="1"/>
  <c r="CW48" i="142"/>
  <c r="CX79" i="142"/>
  <c r="CZ79" i="142" s="1"/>
  <c r="DB79" i="142"/>
  <c r="DE79" i="142" s="1"/>
  <c r="DB87" i="142"/>
  <c r="DE87" i="142" s="1"/>
  <c r="CX87" i="142"/>
  <c r="CZ87" i="142" s="1"/>
  <c r="DB82" i="142"/>
  <c r="DE82" i="142" s="1"/>
  <c r="CX82" i="142"/>
  <c r="CZ82" i="142" s="1"/>
  <c r="CW40" i="142"/>
  <c r="DB92" i="142"/>
  <c r="DE92" i="142" s="1"/>
  <c r="CX92" i="142"/>
  <c r="CZ92" i="142" s="1"/>
  <c r="L40" i="142"/>
  <c r="O40" i="142" s="1"/>
  <c r="R40" i="142" s="1"/>
  <c r="U40" i="142" s="1"/>
  <c r="X40" i="142" s="1"/>
  <c r="AA40" i="142" s="1"/>
  <c r="AD40" i="142" s="1"/>
  <c r="AG40" i="142" s="1"/>
  <c r="AJ40" i="142" s="1"/>
  <c r="AM40" i="142" s="1"/>
  <c r="AP40" i="142" s="1"/>
  <c r="AS40" i="142" s="1"/>
  <c r="AV40" i="142" s="1"/>
  <c r="AY40" i="142" s="1"/>
  <c r="BB40" i="142" s="1"/>
  <c r="BE40" i="142" s="1"/>
  <c r="BH40" i="142" s="1"/>
  <c r="BK40" i="142" s="1"/>
  <c r="BN40" i="142" s="1"/>
  <c r="BQ40" i="142" s="1"/>
  <c r="BT40" i="142" s="1"/>
  <c r="BW40" i="142" s="1"/>
  <c r="BZ40" i="142" s="1"/>
  <c r="CC40" i="142" s="1"/>
  <c r="CF40" i="142" s="1"/>
  <c r="CI40" i="142" s="1"/>
  <c r="CL40" i="142" s="1"/>
  <c r="CO40" i="142" s="1"/>
  <c r="CR40" i="142" s="1"/>
  <c r="CU40" i="142" s="1"/>
  <c r="X60" i="142"/>
  <c r="AA60" i="142" s="1"/>
  <c r="AD60" i="142" s="1"/>
  <c r="AG60" i="142" s="1"/>
  <c r="AJ60" i="142" s="1"/>
  <c r="AM60" i="142" s="1"/>
  <c r="AP60" i="142" s="1"/>
  <c r="AS60" i="142" s="1"/>
  <c r="AV60" i="142" s="1"/>
  <c r="AY60" i="142" s="1"/>
  <c r="BB60" i="142" s="1"/>
  <c r="BE60" i="142" s="1"/>
  <c r="BH60" i="142" s="1"/>
  <c r="BK60" i="142" s="1"/>
  <c r="BN60" i="142" s="1"/>
  <c r="BQ60" i="142" s="1"/>
  <c r="BT60" i="142" s="1"/>
  <c r="BW60" i="142" s="1"/>
  <c r="BZ60" i="142" s="1"/>
  <c r="CC60" i="142" s="1"/>
  <c r="CF60" i="142" s="1"/>
  <c r="CI60" i="142" s="1"/>
  <c r="CL60" i="142" s="1"/>
  <c r="CO60" i="142" s="1"/>
  <c r="CR60" i="142" s="1"/>
  <c r="CU60" i="142" s="1"/>
  <c r="DB88" i="142"/>
  <c r="DE88" i="142" s="1"/>
  <c r="CX88" i="142"/>
  <c r="CZ88" i="142" s="1"/>
  <c r="DB84" i="142"/>
  <c r="DE84" i="142" s="1"/>
  <c r="CX84" i="142"/>
  <c r="CZ84" i="142" s="1"/>
  <c r="CV76" i="142"/>
  <c r="CW43" i="142"/>
  <c r="CW58" i="142"/>
  <c r="L58" i="142"/>
  <c r="O58" i="142" s="1"/>
  <c r="R58" i="142" s="1"/>
  <c r="U58" i="142" s="1"/>
  <c r="X58" i="142" s="1"/>
  <c r="AA58" i="142" s="1"/>
  <c r="AD58" i="142" s="1"/>
  <c r="AG58" i="142" s="1"/>
  <c r="AJ58" i="142" s="1"/>
  <c r="AM58" i="142" s="1"/>
  <c r="AP58" i="142" s="1"/>
  <c r="AS58" i="142" s="1"/>
  <c r="AV58" i="142" s="1"/>
  <c r="AY58" i="142" s="1"/>
  <c r="BB58" i="142" s="1"/>
  <c r="BE58" i="142" s="1"/>
  <c r="BH58" i="142" s="1"/>
  <c r="BK58" i="142" s="1"/>
  <c r="BN58" i="142" s="1"/>
  <c r="BQ58" i="142" s="1"/>
  <c r="BT58" i="142" s="1"/>
  <c r="BW58" i="142" s="1"/>
  <c r="BZ58" i="142" s="1"/>
  <c r="CC58" i="142" s="1"/>
  <c r="CF58" i="142" s="1"/>
  <c r="CI58" i="142" s="1"/>
  <c r="CL58" i="142" s="1"/>
  <c r="CO58" i="142" s="1"/>
  <c r="CR58" i="142" s="1"/>
  <c r="CU58" i="142" s="1"/>
  <c r="DB89" i="142"/>
  <c r="DE89" i="142" s="1"/>
  <c r="CX89" i="142"/>
  <c r="CZ89" i="142" s="1"/>
  <c r="DB93" i="142"/>
  <c r="DE93" i="142" s="1"/>
  <c r="CX93" i="142"/>
  <c r="CZ93" i="142" s="1"/>
  <c r="CX74" i="142"/>
  <c r="CZ74" i="142" s="1"/>
  <c r="DB74" i="142"/>
  <c r="DE74" i="142" s="1"/>
  <c r="DB85" i="142"/>
  <c r="DE85" i="142" s="1"/>
  <c r="CX85" i="142"/>
  <c r="CZ85" i="142" s="1"/>
  <c r="L59" i="142"/>
  <c r="O59" i="142" s="1"/>
  <c r="R59" i="142" s="1"/>
  <c r="U59" i="142" s="1"/>
  <c r="X59" i="142" s="1"/>
  <c r="AA59" i="142" s="1"/>
  <c r="AD59" i="142" s="1"/>
  <c r="AG59" i="142" s="1"/>
  <c r="AJ59" i="142" s="1"/>
  <c r="AM59" i="142" s="1"/>
  <c r="AP59" i="142" s="1"/>
  <c r="AS59" i="142" s="1"/>
  <c r="AV59" i="142" s="1"/>
  <c r="AY59" i="142" s="1"/>
  <c r="BB59" i="142" s="1"/>
  <c r="BE59" i="142" s="1"/>
  <c r="BH59" i="142" s="1"/>
  <c r="BK59" i="142" s="1"/>
  <c r="BN59" i="142" s="1"/>
  <c r="BQ59" i="142" s="1"/>
  <c r="BT59" i="142" s="1"/>
  <c r="BW59" i="142" s="1"/>
  <c r="BZ59" i="142" s="1"/>
  <c r="CC59" i="142" s="1"/>
  <c r="CF59" i="142" s="1"/>
  <c r="CI59" i="142" s="1"/>
  <c r="CL59" i="142" s="1"/>
  <c r="CO59" i="142" s="1"/>
  <c r="CR59" i="142" s="1"/>
  <c r="CU59" i="142" s="1"/>
  <c r="CW59" i="142"/>
  <c r="L76" i="142"/>
  <c r="O76" i="142" s="1"/>
  <c r="R76" i="142" s="1"/>
  <c r="U76" i="142" s="1"/>
  <c r="X76" i="142" s="1"/>
  <c r="AA76" i="142" s="1"/>
  <c r="AD76" i="142" s="1"/>
  <c r="AG76" i="142" s="1"/>
  <c r="AJ76" i="142" s="1"/>
  <c r="AM76" i="142" s="1"/>
  <c r="AP76" i="142" s="1"/>
  <c r="AS76" i="142" s="1"/>
  <c r="AV76" i="142" s="1"/>
  <c r="AY76" i="142" s="1"/>
  <c r="BB76" i="142" s="1"/>
  <c r="BE76" i="142" s="1"/>
  <c r="BH76" i="142" s="1"/>
  <c r="BK76" i="142" s="1"/>
  <c r="BN76" i="142" s="1"/>
  <c r="BQ76" i="142" s="1"/>
  <c r="BT76" i="142" s="1"/>
  <c r="BW76" i="142" s="1"/>
  <c r="BZ76" i="142" s="1"/>
  <c r="CC76" i="142" s="1"/>
  <c r="CF76" i="142" s="1"/>
  <c r="CI76" i="142" s="1"/>
  <c r="CL76" i="142" s="1"/>
  <c r="CO76" i="142" s="1"/>
  <c r="CR76" i="142" s="1"/>
  <c r="CU76" i="142" s="1"/>
  <c r="L83" i="142"/>
  <c r="O83" i="142" s="1"/>
  <c r="R83" i="142" s="1"/>
  <c r="U83" i="142" s="1"/>
  <c r="X83" i="142" s="1"/>
  <c r="AA83" i="142" s="1"/>
  <c r="AD83" i="142" s="1"/>
  <c r="AG83" i="142" s="1"/>
  <c r="AJ83" i="142" s="1"/>
  <c r="AM83" i="142" s="1"/>
  <c r="AP83" i="142" s="1"/>
  <c r="AS83" i="142" s="1"/>
  <c r="AV83" i="142" s="1"/>
  <c r="AY83" i="142" s="1"/>
  <c r="BB83" i="142" s="1"/>
  <c r="BE83" i="142" s="1"/>
  <c r="BH83" i="142" s="1"/>
  <c r="BK83" i="142" s="1"/>
  <c r="BN83" i="142" s="1"/>
  <c r="BQ83" i="142" s="1"/>
  <c r="BT83" i="142" s="1"/>
  <c r="BW83" i="142" s="1"/>
  <c r="BZ83" i="142" s="1"/>
  <c r="CC83" i="142" s="1"/>
  <c r="CF83" i="142" s="1"/>
  <c r="CI83" i="142" s="1"/>
  <c r="CL83" i="142" s="1"/>
  <c r="CO83" i="142" s="1"/>
  <c r="CR83" i="142" s="1"/>
  <c r="CU83" i="142" s="1"/>
  <c r="CW83" i="142"/>
  <c r="CW77" i="142"/>
  <c r="DB12" i="142" l="1"/>
  <c r="DE12" i="142" s="1"/>
  <c r="CX77" i="142"/>
  <c r="CZ77" i="142" s="1"/>
  <c r="DB25" i="142"/>
  <c r="DE25" i="142" s="1"/>
  <c r="CX25" i="142"/>
  <c r="CZ25" i="142" s="1"/>
  <c r="CX76" i="142"/>
  <c r="CZ76" i="142" s="1"/>
  <c r="DB76" i="142"/>
  <c r="DE76" i="142" s="1"/>
  <c r="CX59" i="142"/>
  <c r="CZ59" i="142" s="1"/>
  <c r="DB59" i="142"/>
  <c r="DE59" i="142" s="1"/>
  <c r="CX60" i="142"/>
  <c r="CZ60" i="142" s="1"/>
  <c r="DB60" i="142"/>
  <c r="DE60" i="142" s="1"/>
  <c r="CX40" i="142"/>
  <c r="CZ40" i="142" s="1"/>
  <c r="DB40" i="142"/>
  <c r="DE40" i="142" s="1"/>
  <c r="DB24" i="142"/>
  <c r="DE24" i="142" s="1"/>
  <c r="CX24" i="142"/>
  <c r="CZ24" i="142" s="1"/>
  <c r="DB36" i="142"/>
  <c r="DE36" i="142" s="1"/>
  <c r="CX36" i="142"/>
  <c r="CZ36" i="142" s="1"/>
  <c r="DB27" i="142"/>
  <c r="DE27" i="142" s="1"/>
  <c r="CX27" i="142"/>
  <c r="CZ27" i="142" s="1"/>
  <c r="DB63" i="142"/>
  <c r="DE63" i="142" s="1"/>
  <c r="CX63" i="142"/>
  <c r="CZ63" i="142" s="1"/>
  <c r="DB58" i="142"/>
  <c r="DE58" i="142" s="1"/>
  <c r="CX58" i="142"/>
  <c r="CZ58" i="142" s="1"/>
  <c r="CX15" i="142"/>
  <c r="CZ15" i="142" s="1"/>
  <c r="DB15" i="142"/>
  <c r="DE15" i="142" s="1"/>
  <c r="DB83" i="142"/>
  <c r="DE83" i="142" s="1"/>
  <c r="CX83" i="142"/>
  <c r="CZ83" i="142" s="1"/>
  <c r="CZ94" i="142" l="1"/>
  <c r="CZ95" i="142" s="1"/>
  <c r="F2" i="140" l="1"/>
  <c r="F2" i="77" l="1"/>
  <c r="F2" i="135" l="1"/>
  <c r="F2" i="132" l="1"/>
  <c r="F2" i="131" l="1"/>
  <c r="F2" i="125" l="1"/>
  <c r="F2" i="123" l="1"/>
  <c r="F2" i="122"/>
  <c r="F2" i="121"/>
  <c r="F2" i="120"/>
  <c r="F2" i="102" l="1"/>
  <c r="F2" i="98" l="1"/>
  <c r="O24" i="83" l="1"/>
  <c r="F2" i="83"/>
  <c r="O26" i="53" l="1"/>
  <c r="F2" i="72" l="1"/>
  <c r="F2" i="71" l="1"/>
  <c r="F2" i="53" l="1"/>
  <c r="AY32" i="150"/>
  <c r="BB32" i="150" s="1"/>
  <c r="BE32" i="150" s="1"/>
  <c r="BH32" i="150" s="1"/>
  <c r="BK32" i="150" s="1"/>
  <c r="BN32" i="150" s="1"/>
  <c r="BQ32" i="150" s="1"/>
  <c r="BT32" i="150" s="1"/>
  <c r="BW32" i="150" s="1"/>
  <c r="BZ32" i="150" s="1"/>
  <c r="CC32" i="150" s="1"/>
  <c r="CF32" i="150" s="1"/>
  <c r="CI32" i="150" s="1"/>
  <c r="CW32" i="150"/>
  <c r="CL32" i="150" l="1"/>
  <c r="CO32" i="150" s="1"/>
  <c r="CR32" i="150" s="1"/>
  <c r="CU32" i="150" s="1"/>
  <c r="CX32" i="150" l="1"/>
  <c r="CZ32" i="150" s="1"/>
  <c r="CZ94" i="150" s="1"/>
  <c r="CZ95" i="150" s="1"/>
  <c r="DB32" i="150"/>
  <c r="DE32" i="150" s="1"/>
  <c r="BW14" i="153"/>
  <c r="BZ14" i="153" s="1"/>
  <c r="CC14" i="153" s="1"/>
  <c r="CF14" i="153" s="1"/>
  <c r="CI14" i="153" s="1"/>
  <c r="CL14" i="153" s="1"/>
  <c r="CO14" i="153" s="1"/>
  <c r="CR14" i="153" s="1"/>
  <c r="CU14" i="153" s="1"/>
  <c r="CW14" i="153"/>
  <c r="DB14" i="153" l="1"/>
  <c r="DE14" i="153" s="1"/>
  <c r="CX14" i="153"/>
  <c r="CZ14" i="153" s="1"/>
  <c r="CZ94" i="153" s="1"/>
  <c r="CZ95" i="15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49E63DD3-A303-43E2-ACAE-AC0A848100C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178D7717-BE67-4457-97B4-7A0138B2FFB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  <comment ref="AR82" authorId="0" shapeId="0" xr:uid="{06DBA9C6-FFA6-43C4-A803-ECB3F1244CBE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社員現物添付分</t>
        </r>
      </text>
    </comment>
    <comment ref="AU82" authorId="0" shapeId="0" xr:uid="{95085EB9-B0AE-401D-94C5-6D627EC83299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商和返品6ｃｓ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0E9D30DB-0CB0-4E57-A856-524751864A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95791053-4804-415C-8C3E-5B15D2B29BB9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B3AB42F0-DFE4-4180-874D-138C7A70279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  <comment ref="BF75" authorId="0" shapeId="0" xr:uid="{EA154DC7-05F7-4A3F-88E7-4D6AB17D67FF}">
      <text>
        <r>
          <rPr>
            <b/>
            <sz val="9"/>
            <color indexed="81"/>
            <rFont val="MS P ゴシック"/>
            <family val="3"/>
            <charset val="128"/>
          </rPr>
          <t>ベイサイドから持ち帰り分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3991E369-923C-469A-B4B5-0A2A0765627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  <comment ref="T26" authorId="0" shapeId="0" xr:uid="{B101554A-118B-4761-B054-8F7041FC49D1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青葉台2、町田1
追加させて頂いた分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243D930C-C43D-4D7A-BA77-0C3604876B1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  <comment ref="AB17" authorId="0" shapeId="0" xr:uid="{A6078E96-7CF8-425E-96BF-D12550BFA2C1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7日未引取り分含む
</t>
        </r>
      </text>
    </comment>
    <comment ref="CT27" authorId="0" shapeId="0" xr:uid="{50DB3DD1-A286-42E1-99DD-84757538A331}">
      <text>
        <r>
          <rPr>
            <b/>
            <sz val="9"/>
            <color indexed="81"/>
            <rFont val="MS P ゴシック"/>
            <family val="3"/>
            <charset val="128"/>
          </rPr>
          <t>ぎんやＭ10ｋｇ</t>
        </r>
      </text>
    </comment>
    <comment ref="BP74" authorId="0" shapeId="0" xr:uid="{DC08BDCA-53CC-4806-89DD-900F293D2CF8}">
      <text>
        <r>
          <rPr>
            <b/>
            <sz val="9"/>
            <color indexed="81"/>
            <rFont val="MS P ゴシック"/>
            <family val="3"/>
            <charset val="128"/>
          </rPr>
          <t>お中元で使用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3" authorId="0" shapeId="0" xr:uid="{7BA420F7-3253-4008-B7CC-5B5FD3E5E6AA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玉子は
金曜(月曜)
仕入の最低在庫です
</t>
        </r>
      </text>
    </comment>
    <comment ref="AR14" authorId="0" shapeId="0" xr:uid="{B5C72446-93E6-456F-B491-FB9A16478AFE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港南台交換分１個含む
</t>
        </r>
      </text>
    </comment>
    <comment ref="CG17" authorId="0" shapeId="0" xr:uid="{4E5F0650-2C74-4855-A99A-7497F33C31A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26日未引取り分含む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E23" authorId="0" shapeId="0" xr:uid="{FCDDC7FD-8D75-4123-8865-9FD0DEF69F28}">
      <text>
        <r>
          <rPr>
            <b/>
            <sz val="9"/>
            <color indexed="81"/>
            <rFont val="MS P ゴシック"/>
            <family val="3"/>
            <charset val="128"/>
          </rPr>
          <t>10pc＝七志４pc分</t>
        </r>
      </text>
    </comment>
    <comment ref="AI36" authorId="0" shapeId="0" xr:uid="{D2B98E0E-5A3F-4BC0-8FE8-0213D5BD04A4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CK36" authorId="0" shapeId="0" xr:uid="{5DE0CB3E-8B6F-43DD-9A2D-FB382619C1AF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P25" authorId="0" shapeId="0" xr:uid="{958B42B6-2A23-43E5-8384-5CD2BF23BDBC}">
      <text/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W18" authorId="0" shapeId="0" xr:uid="{1A671BF6-537B-4ED5-8CF3-36E01D525096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N36" authorId="0" shapeId="0" xr:uid="{6CB31969-AA57-4CAF-B5B9-77A4388A2F3E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Q36" authorId="0" shapeId="0" xr:uid="{6E33E443-F49E-4A9E-88DA-92BF03BF4F33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AI36" authorId="0" shapeId="0" xr:uid="{89D328E2-86DD-41A7-B777-669037AEF313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BD36" authorId="0" shapeId="0" xr:uid="{A3BB69B2-0B13-4D95-A9B1-AF8865450190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>NANKIPC11</author>
  </authors>
  <commentList>
    <comment ref="AW13" authorId="0" shapeId="0" xr:uid="{3DF40C6F-B944-4E3A-9F98-DCE3ADAC50A9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BO15" authorId="1" shapeId="0" xr:uid="{B804BC9A-05D9-4B31-B964-0AC30B9A2027}">
      <text>
        <r>
          <rPr>
            <b/>
            <sz val="9"/>
            <color indexed="81"/>
            <rFont val="MS P ゴシック"/>
            <family val="3"/>
            <charset val="128"/>
          </rPr>
          <t>調整増</t>
        </r>
      </text>
    </comment>
    <comment ref="BO18" authorId="1" shapeId="0" xr:uid="{5FC25EAB-75DF-463C-A634-FC64D3874A43}">
      <text>
        <r>
          <rPr>
            <b/>
            <sz val="9"/>
            <color indexed="81"/>
            <rFont val="MS P ゴシック"/>
            <family val="3"/>
            <charset val="128"/>
          </rPr>
          <t>調整増</t>
        </r>
      </text>
    </comment>
    <comment ref="CB22" authorId="0" shapeId="0" xr:uid="{71AC7C7D-F72C-4CDC-865F-116971E8B6F9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在庫修正4</t>
        </r>
      </text>
    </comment>
    <comment ref="G27" authorId="0" shapeId="0" xr:uid="{EDAE1777-B70F-4EC3-801A-06579953ECED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AW27" authorId="0" shapeId="0" xr:uid="{7929219A-224D-4FFC-A52F-3BC5B17D9C39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CB27" authorId="0" shapeId="0" xr:uid="{33B84CDE-F6A2-483B-A664-38A2BC46C900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在庫修正3.4</t>
        </r>
      </text>
    </comment>
    <comment ref="AW28" authorId="0" shapeId="0" xr:uid="{71F68E8B-45C7-42B7-BDAE-2260A4ADAE3E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Q36" authorId="0" shapeId="0" xr:uid="{52ABAA67-5C92-4762-B0DB-5B9A58027ED6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AC36" authorId="0" shapeId="0" xr:uid="{AF9D08FE-6AF2-4B9D-866E-93BAE6D857CF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BG36" authorId="0" shapeId="0" xr:uid="{5A9DEF90-9517-456D-A279-15754185C431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G40" authorId="0" shapeId="0" xr:uid="{5E790F38-9986-4B49-A425-C4090CBB8FAF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在庫修正+1</t>
        </r>
      </text>
    </comment>
    <comment ref="CB40" authorId="0" shapeId="0" xr:uid="{2A14BF30-8D23-48A7-BB96-9AC93E37CA9F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在庫修正2.8</t>
        </r>
      </text>
    </comment>
    <comment ref="BF48" authorId="0" shapeId="0" xr:uid="{FE754BAD-13FF-4988-8394-F6F48AC7E0BF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G58" authorId="0" shapeId="0" xr:uid="{425FED48-0584-492A-9DA3-8C1D3F8B0418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CG63" authorId="0" shapeId="0" xr:uid="{34628BA2-313F-4C41-ACBD-C2CEE3A57596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L8" authorId="0" shapeId="0" xr:uid="{4A19EFD4-3509-46FE-87AC-99BE4DF09058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
-2ｐｃ</t>
        </r>
      </text>
    </comment>
    <comment ref="BC13" authorId="0" shapeId="0" xr:uid="{8E0472EF-B17C-45F0-84CE-6FC733679673}">
      <text>
        <r>
          <rPr>
            <b/>
            <sz val="9"/>
            <color indexed="81"/>
            <rFont val="MS P ゴシック"/>
            <family val="3"/>
            <charset val="128"/>
          </rPr>
          <t>user:在庫修正</t>
        </r>
      </text>
    </comment>
    <comment ref="BF22" authorId="0" shapeId="0" xr:uid="{21B2C94D-C848-43CE-BE2A-81B8BE28E1D7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BX22" authorId="0" shapeId="0" xr:uid="{4DFA778C-F8F8-47D7-A14A-27BE3CDED0C1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AR36" authorId="0" shapeId="0" xr:uid="{2032B24B-A118-4D0C-98EE-C45DE7AD05DB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BG36" authorId="0" shapeId="0" xr:uid="{CD369DA2-D831-41EE-827F-7CF17FE5F862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バラ使用1ｃｓ</t>
        </r>
      </text>
    </comment>
    <comment ref="BC40" authorId="0" shapeId="0" xr:uid="{9F187C3C-CDAB-4ABF-BAE3-E4D6E7F13C85}">
      <text>
        <r>
          <rPr>
            <b/>
            <sz val="9"/>
            <color indexed="81"/>
            <rFont val="MS P ゴシック"/>
            <family val="3"/>
            <charset val="128"/>
          </rPr>
          <t>user:在庫修正</t>
        </r>
      </text>
    </comment>
    <comment ref="AK48" authorId="0" shapeId="0" xr:uid="{A52FB0FA-10F1-4358-A2E8-173919298534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AZ49" authorId="0" shapeId="0" xr:uid="{8E0A4E40-A31E-493B-BF9B-F307A41431E9}">
      <text>
        <r>
          <rPr>
            <b/>
            <sz val="9"/>
            <color indexed="81"/>
            <rFont val="MS P ゴシック"/>
            <family val="3"/>
            <charset val="128"/>
          </rPr>
          <t>17日分先立っての納品</t>
        </r>
      </text>
    </comment>
    <comment ref="CA58" authorId="0" shapeId="0" xr:uid="{48E9C716-DED4-4DEE-8800-FC60BF76307E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  <comment ref="P63" authorId="0" shapeId="0" xr:uid="{02AA92B5-DA34-491C-8DE1-457D190FF58E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在庫修正</t>
        </r>
      </text>
    </comment>
  </commentList>
</comments>
</file>

<file path=xl/sharedStrings.xml><?xml version="1.0" encoding="utf-8"?>
<sst xmlns="http://schemas.openxmlformats.org/spreadsheetml/2006/main" count="5706" uniqueCount="341">
  <si>
    <t>ナンキ　鶴見　在庫表</t>
    <rPh sb="4" eb="6">
      <t>ツルミ</t>
    </rPh>
    <rPh sb="7" eb="9">
      <t>ザイコ</t>
    </rPh>
    <rPh sb="9" eb="10">
      <t>ヒョウ</t>
    </rPh>
    <phoneticPr fontId="1"/>
  </si>
  <si>
    <t>月</t>
    <rPh sb="0" eb="1">
      <t>ガツ</t>
    </rPh>
    <phoneticPr fontId="1"/>
  </si>
  <si>
    <t xml:space="preserve">  </t>
    <phoneticPr fontId="1"/>
  </si>
  <si>
    <t>z</t>
    <phoneticPr fontId="1"/>
  </si>
  <si>
    <t>ｹｰｽ入数</t>
    <rPh sb="3" eb="5">
      <t>イリスウ</t>
    </rPh>
    <phoneticPr fontId="1"/>
  </si>
  <si>
    <t>輸入</t>
    <rPh sb="0" eb="2">
      <t>ユニュウ</t>
    </rPh>
    <phoneticPr fontId="1"/>
  </si>
  <si>
    <t>計</t>
    <rPh sb="0" eb="1">
      <t>ケイ</t>
    </rPh>
    <phoneticPr fontId="1"/>
  </si>
  <si>
    <t>商品名</t>
    <rPh sb="0" eb="3">
      <t>ショウヒンメイ</t>
    </rPh>
    <phoneticPr fontId="1"/>
  </si>
  <si>
    <t>単位</t>
    <rPh sb="0" eb="2">
      <t>タンイ</t>
    </rPh>
    <phoneticPr fontId="1"/>
  </si>
  <si>
    <t>最低在庫数</t>
    <rPh sb="0" eb="2">
      <t>サイテイ</t>
    </rPh>
    <rPh sb="2" eb="5">
      <t>ザイコスウ</t>
    </rPh>
    <phoneticPr fontId="1"/>
  </si>
  <si>
    <t>発注単位</t>
    <rPh sb="0" eb="2">
      <t>ハッチュウ</t>
    </rPh>
    <rPh sb="2" eb="4">
      <t>タンイ</t>
    </rPh>
    <phoneticPr fontId="1"/>
  </si>
  <si>
    <t>入</t>
    <rPh sb="0" eb="1">
      <t>ニュウ</t>
    </rPh>
    <phoneticPr fontId="1"/>
  </si>
  <si>
    <t>出</t>
    <rPh sb="0" eb="1">
      <t>デ</t>
    </rPh>
    <phoneticPr fontId="1"/>
  </si>
  <si>
    <t>残</t>
    <rPh sb="0" eb="1">
      <t>ザン</t>
    </rPh>
    <phoneticPr fontId="1"/>
  </si>
  <si>
    <t>入</t>
    <rPh sb="0" eb="1">
      <t>イリ</t>
    </rPh>
    <phoneticPr fontId="1"/>
  </si>
  <si>
    <t>入荷数</t>
    <rPh sb="0" eb="2">
      <t>ニュウカ</t>
    </rPh>
    <rPh sb="2" eb="3">
      <t>スウ</t>
    </rPh>
    <phoneticPr fontId="1"/>
  </si>
  <si>
    <t>出荷数</t>
    <rPh sb="0" eb="2">
      <t>シュッカ</t>
    </rPh>
    <rPh sb="2" eb="3">
      <t>スウ</t>
    </rPh>
    <phoneticPr fontId="1"/>
  </si>
  <si>
    <t>月末残数</t>
    <rPh sb="0" eb="2">
      <t>ゲツマツ</t>
    </rPh>
    <rPh sb="2" eb="4">
      <t>ザンスウ</t>
    </rPh>
    <phoneticPr fontId="1"/>
  </si>
  <si>
    <t>月末原価</t>
    <rPh sb="0" eb="2">
      <t>ゲツマツ</t>
    </rPh>
    <rPh sb="2" eb="4">
      <t>ゲンカ</t>
    </rPh>
    <phoneticPr fontId="1"/>
  </si>
  <si>
    <t>在庫額</t>
    <rPh sb="0" eb="2">
      <t>ザイコ</t>
    </rPh>
    <rPh sb="2" eb="3">
      <t>ガク</t>
    </rPh>
    <phoneticPr fontId="1"/>
  </si>
  <si>
    <t>アーリーレッド</t>
    <phoneticPr fontId="1"/>
  </si>
  <si>
    <t>個</t>
    <rPh sb="0" eb="1">
      <t>コ</t>
    </rPh>
    <phoneticPr fontId="1"/>
  </si>
  <si>
    <t>1Kg</t>
    <phoneticPr fontId="1"/>
  </si>
  <si>
    <t>10pc</t>
    <phoneticPr fontId="1"/>
  </si>
  <si>
    <t>洗いごぼう(PC)</t>
    <rPh sb="0" eb="1">
      <t>アラ</t>
    </rPh>
    <phoneticPr fontId="1"/>
  </si>
  <si>
    <t>本</t>
    <rPh sb="0" eb="1">
      <t>ホン</t>
    </rPh>
    <phoneticPr fontId="1"/>
  </si>
  <si>
    <t>１CS</t>
  </si>
  <si>
    <t>ｐｃ</t>
    <phoneticPr fontId="1"/>
  </si>
  <si>
    <t>20pc</t>
    <phoneticPr fontId="1"/>
  </si>
  <si>
    <t>うずらの卵</t>
    <rPh sb="4" eb="5">
      <t>タマゴ</t>
    </rPh>
    <phoneticPr fontId="1"/>
  </si>
  <si>
    <t>ｐｃ</t>
  </si>
  <si>
    <t>20（30）</t>
    <phoneticPr fontId="1"/>
  </si>
  <si>
    <t>pc</t>
    <phoneticPr fontId="1"/>
  </si>
  <si>
    <t>1CS</t>
    <phoneticPr fontId="1"/>
  </si>
  <si>
    <t>オクラ</t>
    <phoneticPr fontId="1"/>
  </si>
  <si>
    <t>かいわれ</t>
    <phoneticPr fontId="1"/>
  </si>
  <si>
    <t>60(80)</t>
    <phoneticPr fontId="1"/>
  </si>
  <si>
    <t>6個</t>
    <rPh sb="1" eb="2">
      <t>コ</t>
    </rPh>
    <phoneticPr fontId="1"/>
  </si>
  <si>
    <t>かぼちゃ国産/輸入</t>
    <rPh sb="4" eb="6">
      <t>コクサン</t>
    </rPh>
    <rPh sb="7" eb="9">
      <t>ユニュウ</t>
    </rPh>
    <phoneticPr fontId="1"/>
  </si>
  <si>
    <t>8個</t>
    <rPh sb="1" eb="2">
      <t>コ</t>
    </rPh>
    <phoneticPr fontId="1"/>
  </si>
  <si>
    <t>キャベツ8玉</t>
    <rPh sb="5" eb="6">
      <t>タマ</t>
    </rPh>
    <phoneticPr fontId="1"/>
  </si>
  <si>
    <t>1CS</t>
  </si>
  <si>
    <t>50本</t>
    <rPh sb="2" eb="3">
      <t>ホン</t>
    </rPh>
    <phoneticPr fontId="1"/>
  </si>
  <si>
    <t>きゅうり</t>
  </si>
  <si>
    <t>25pc</t>
    <phoneticPr fontId="1"/>
  </si>
  <si>
    <t>小松菜</t>
    <rPh sb="0" eb="3">
      <t>コマツナ</t>
    </rPh>
    <phoneticPr fontId="1"/>
  </si>
  <si>
    <t>コリアンダー（パクチー）</t>
    <phoneticPr fontId="1"/>
  </si>
  <si>
    <t>束</t>
    <rPh sb="0" eb="1">
      <t>タバ</t>
    </rPh>
    <phoneticPr fontId="1"/>
  </si>
  <si>
    <t>5kg</t>
    <phoneticPr fontId="1"/>
  </si>
  <si>
    <t>さつまいも　2Ｌ</t>
    <phoneticPr fontId="1"/>
  </si>
  <si>
    <t>ｋｇ</t>
    <phoneticPr fontId="1"/>
  </si>
  <si>
    <t>ｃｓ</t>
    <phoneticPr fontId="1"/>
  </si>
  <si>
    <t>さつまいも　M</t>
    <phoneticPr fontId="1"/>
  </si>
  <si>
    <t>サラダほうれん草</t>
    <rPh sb="7" eb="8">
      <t>ソウ</t>
    </rPh>
    <phoneticPr fontId="1"/>
  </si>
  <si>
    <t>10kg</t>
    <phoneticPr fontId="1"/>
  </si>
  <si>
    <t>じゃがいも　２L　１０キロ</t>
  </si>
  <si>
    <t>生姜　パック国産150g</t>
    <rPh sb="0" eb="2">
      <t>ショウガ</t>
    </rPh>
    <rPh sb="6" eb="8">
      <t>コクサン</t>
    </rPh>
    <phoneticPr fontId="1"/>
  </si>
  <si>
    <t>20(30)</t>
    <phoneticPr fontId="1"/>
  </si>
  <si>
    <t>30ｐｃ</t>
    <phoneticPr fontId="1"/>
  </si>
  <si>
    <t>9本</t>
    <rPh sb="1" eb="2">
      <t>ホン</t>
    </rPh>
    <phoneticPr fontId="1"/>
  </si>
  <si>
    <t>セロリ　本　２Ｌ</t>
    <rPh sb="4" eb="5">
      <t>ホン</t>
    </rPh>
    <phoneticPr fontId="1"/>
  </si>
  <si>
    <t>1束</t>
    <rPh sb="1" eb="2">
      <t>タバ</t>
    </rPh>
    <phoneticPr fontId="1"/>
  </si>
  <si>
    <t>10本</t>
    <rPh sb="2" eb="3">
      <t>ホン</t>
    </rPh>
    <phoneticPr fontId="1"/>
  </si>
  <si>
    <t>大根　L/２L　</t>
    <rPh sb="0" eb="2">
      <t>ダイコン</t>
    </rPh>
    <phoneticPr fontId="1"/>
  </si>
  <si>
    <t>たまごMS</t>
  </si>
  <si>
    <t>cs</t>
    <phoneticPr fontId="1"/>
  </si>
  <si>
    <t>20kg</t>
    <phoneticPr fontId="1"/>
  </si>
  <si>
    <t>玉ねぎ　L　又は　Ｌ大</t>
    <rPh sb="0" eb="1">
      <t>タマ</t>
    </rPh>
    <rPh sb="6" eb="7">
      <t>マタ</t>
    </rPh>
    <rPh sb="10" eb="11">
      <t>ダイ</t>
    </rPh>
    <phoneticPr fontId="1"/>
  </si>
  <si>
    <t>2CS</t>
    <phoneticPr fontId="1"/>
  </si>
  <si>
    <t>玉葱　安（輸入）又は(2L)</t>
    <rPh sb="0" eb="2">
      <t>タマネギ</t>
    </rPh>
    <rPh sb="3" eb="4">
      <t>ヤス</t>
    </rPh>
    <rPh sb="5" eb="7">
      <t>ユニュウ</t>
    </rPh>
    <rPh sb="8" eb="9">
      <t>マタ</t>
    </rPh>
    <phoneticPr fontId="1"/>
  </si>
  <si>
    <t>チンゲン菜FG</t>
    <rPh sb="4" eb="5">
      <t>サイ</t>
    </rPh>
    <phoneticPr fontId="1"/>
  </si>
  <si>
    <t>10P</t>
  </si>
  <si>
    <t>豆腐　絹</t>
    <rPh sb="0" eb="2">
      <t>トウフ</t>
    </rPh>
    <rPh sb="3" eb="4">
      <t>キヌ</t>
    </rPh>
    <phoneticPr fontId="1"/>
  </si>
  <si>
    <t>24個</t>
    <rPh sb="2" eb="3">
      <t>コ</t>
    </rPh>
    <phoneticPr fontId="1"/>
  </si>
  <si>
    <t>トマト　Ｍ＆麗容トマト</t>
    <rPh sb="6" eb="8">
      <t>レイヨウ</t>
    </rPh>
    <phoneticPr fontId="1"/>
  </si>
  <si>
    <t>トマト　Ｓ【つぶし】</t>
    <phoneticPr fontId="1"/>
  </si>
  <si>
    <t>長ネギB　５ｋ箱</t>
    <rPh sb="0" eb="1">
      <t>ナガ</t>
    </rPh>
    <rPh sb="7" eb="8">
      <t>ハコ</t>
    </rPh>
    <phoneticPr fontId="1"/>
  </si>
  <si>
    <t>箱</t>
    <rPh sb="0" eb="1">
      <t>ハコ</t>
    </rPh>
    <phoneticPr fontId="1"/>
  </si>
  <si>
    <t>10（14）</t>
    <phoneticPr fontId="1"/>
  </si>
  <si>
    <t>5本</t>
    <rPh sb="1" eb="2">
      <t>ホン</t>
    </rPh>
    <phoneticPr fontId="1"/>
  </si>
  <si>
    <t>茄子</t>
    <rPh sb="0" eb="2">
      <t>ナス</t>
    </rPh>
    <phoneticPr fontId="1"/>
  </si>
  <si>
    <t>10束</t>
    <rPh sb="2" eb="3">
      <t>タバ</t>
    </rPh>
    <phoneticPr fontId="1"/>
  </si>
  <si>
    <t>にら</t>
  </si>
  <si>
    <t>１PC</t>
  </si>
  <si>
    <t>人参　２L</t>
    <rPh sb="0" eb="2">
      <t>ニンジン</t>
    </rPh>
    <phoneticPr fontId="1"/>
  </si>
  <si>
    <t>2CS</t>
  </si>
  <si>
    <t>にんにく国産</t>
    <rPh sb="4" eb="6">
      <t>コクサン</t>
    </rPh>
    <phoneticPr fontId="1"/>
  </si>
  <si>
    <t>１KG</t>
  </si>
  <si>
    <t>ニンニク輸入</t>
    <rPh sb="4" eb="6">
      <t>ユニュウ</t>
    </rPh>
    <phoneticPr fontId="1"/>
  </si>
  <si>
    <t>ｋｇ</t>
  </si>
  <si>
    <t>１KG</t>
    <phoneticPr fontId="1"/>
  </si>
  <si>
    <t>白菜　6玉</t>
    <rPh sb="0" eb="2">
      <t>ハクサイ</t>
    </rPh>
    <rPh sb="4" eb="5">
      <t>タマ</t>
    </rPh>
    <phoneticPr fontId="1"/>
  </si>
  <si>
    <t>パセリ　小袋(5取分）</t>
    <rPh sb="4" eb="5">
      <t>コ</t>
    </rPh>
    <rPh sb="5" eb="6">
      <t>ブクロ</t>
    </rPh>
    <rPh sb="8" eb="9">
      <t>ト</t>
    </rPh>
    <rPh sb="9" eb="10">
      <t>ブン</t>
    </rPh>
    <phoneticPr fontId="1"/>
  </si>
  <si>
    <t>大ｐｃ</t>
    <rPh sb="0" eb="1">
      <t>ダイ</t>
    </rPh>
    <phoneticPr fontId="1"/>
  </si>
  <si>
    <t>パプリカ赤</t>
    <rPh sb="4" eb="5">
      <t>アカ</t>
    </rPh>
    <phoneticPr fontId="1"/>
  </si>
  <si>
    <t>パプリカ黄</t>
    <rPh sb="4" eb="5">
      <t>キ</t>
    </rPh>
    <phoneticPr fontId="1"/>
  </si>
  <si>
    <t>30pc</t>
    <phoneticPr fontId="1"/>
  </si>
  <si>
    <t>万能ねぎ</t>
    <rPh sb="0" eb="2">
      <t>バンノウ</t>
    </rPh>
    <phoneticPr fontId="1"/>
  </si>
  <si>
    <t>4kg</t>
    <phoneticPr fontId="1"/>
  </si>
  <si>
    <t>ピーマン　バラ　4㌔</t>
  </si>
  <si>
    <t>プチにんにく　1ｋｇ</t>
  </si>
  <si>
    <t>本しめじ　100ｇ</t>
    <rPh sb="0" eb="1">
      <t>ホン</t>
    </rPh>
    <phoneticPr fontId="1"/>
  </si>
  <si>
    <t>水菜</t>
    <rPh sb="0" eb="2">
      <t>ミズナ</t>
    </rPh>
    <phoneticPr fontId="1"/>
  </si>
  <si>
    <t>ミニトマト</t>
    <phoneticPr fontId="1"/>
  </si>
  <si>
    <t>ムキ玉ねぎ</t>
    <rPh sb="2" eb="3">
      <t>タマ</t>
    </rPh>
    <phoneticPr fontId="1"/>
  </si>
  <si>
    <t>kg</t>
    <phoneticPr fontId="1"/>
  </si>
  <si>
    <t>ムキニンニク</t>
  </si>
  <si>
    <t>紫キャベツ</t>
    <rPh sb="0" eb="1">
      <t>ムラサキ</t>
    </rPh>
    <phoneticPr fontId="1"/>
  </si>
  <si>
    <t>メークイン</t>
    <phoneticPr fontId="1"/>
  </si>
  <si>
    <t>25（35）</t>
    <phoneticPr fontId="1"/>
  </si>
  <si>
    <t>もやし小袋</t>
    <rPh sb="3" eb="5">
      <t>コブクロ</t>
    </rPh>
    <phoneticPr fontId="1"/>
  </si>
  <si>
    <t>レタス Ｌ</t>
  </si>
  <si>
    <t>140個</t>
    <rPh sb="3" eb="4">
      <t>コ</t>
    </rPh>
    <phoneticPr fontId="1"/>
  </si>
  <si>
    <t>レモン　140</t>
    <phoneticPr fontId="1"/>
  </si>
  <si>
    <t>１CS</t>
    <phoneticPr fontId="1"/>
  </si>
  <si>
    <t>柿</t>
    <rPh sb="0" eb="1">
      <t>カキ</t>
    </rPh>
    <phoneticPr fontId="1"/>
  </si>
  <si>
    <t>いちご 輸入</t>
    <rPh sb="4" eb="6">
      <t>ユニュウ</t>
    </rPh>
    <phoneticPr fontId="1"/>
  </si>
  <si>
    <t>☆牛乳</t>
    <rPh sb="1" eb="3">
      <t>ギュウニュウ</t>
    </rPh>
    <phoneticPr fontId="1"/>
  </si>
  <si>
    <t>米　（洗米用）　5kg/pc</t>
    <rPh sb="0" eb="1">
      <t>コメ</t>
    </rPh>
    <rPh sb="3" eb="5">
      <t>センマイ</t>
    </rPh>
    <rPh sb="5" eb="6">
      <t>ヨウ</t>
    </rPh>
    <phoneticPr fontId="1"/>
  </si>
  <si>
    <t>米　（無洗米用） 5kg/pc</t>
    <rPh sb="0" eb="1">
      <t>コメ</t>
    </rPh>
    <rPh sb="3" eb="4">
      <t>ム</t>
    </rPh>
    <rPh sb="4" eb="6">
      <t>センマイ</t>
    </rPh>
    <rPh sb="6" eb="7">
      <t>ヨウ</t>
    </rPh>
    <phoneticPr fontId="1"/>
  </si>
  <si>
    <t>6入</t>
    <rPh sb="1" eb="2">
      <t>イリ</t>
    </rPh>
    <phoneticPr fontId="1"/>
  </si>
  <si>
    <t>カンテン ウルトラ（春水堂用）</t>
    <rPh sb="10" eb="12">
      <t>シュンスイ</t>
    </rPh>
    <rPh sb="12" eb="13">
      <t>ドウ</t>
    </rPh>
    <rPh sb="13" eb="14">
      <t>ヨウ</t>
    </rPh>
    <phoneticPr fontId="1"/>
  </si>
  <si>
    <t>3CS</t>
    <phoneticPr fontId="1"/>
  </si>
  <si>
    <t>12入</t>
    <rPh sb="2" eb="3">
      <t>イリ</t>
    </rPh>
    <phoneticPr fontId="1"/>
  </si>
  <si>
    <t>ゆで十勝小豆（春水堂用）</t>
    <rPh sb="2" eb="4">
      <t>トカチ</t>
    </rPh>
    <rPh sb="4" eb="6">
      <t>アズキ</t>
    </rPh>
    <rPh sb="7" eb="9">
      <t>シュンスイ</t>
    </rPh>
    <rPh sb="9" eb="10">
      <t>ドウ</t>
    </rPh>
    <rPh sb="10" eb="11">
      <t>ヨウ</t>
    </rPh>
    <phoneticPr fontId="1"/>
  </si>
  <si>
    <t>14CS</t>
    <phoneticPr fontId="1"/>
  </si>
  <si>
    <t>七志　幻餃子</t>
    <rPh sb="0" eb="1">
      <t>ナナ</t>
    </rPh>
    <rPh sb="1" eb="2">
      <t>シ</t>
    </rPh>
    <rPh sb="3" eb="4">
      <t>マボロシ</t>
    </rPh>
    <rPh sb="4" eb="6">
      <t>ギョウザ</t>
    </rPh>
    <phoneticPr fontId="1"/>
  </si>
  <si>
    <t>在庫総額</t>
    <rPh sb="0" eb="2">
      <t>ザイコ</t>
    </rPh>
    <rPh sb="2" eb="4">
      <t>ソウガク</t>
    </rPh>
    <phoneticPr fontId="1"/>
  </si>
  <si>
    <t>PC</t>
    <phoneticPr fontId="1"/>
  </si>
  <si>
    <t>いつも大変お世話になっております。</t>
    <rPh sb="3" eb="5">
      <t>タイヘン</t>
    </rPh>
    <rPh sb="6" eb="8">
      <t>セワ</t>
    </rPh>
    <phoneticPr fontId="1"/>
  </si>
  <si>
    <t>下記　商品の予約発注をお願い致します。</t>
    <rPh sb="0" eb="2">
      <t>カキ</t>
    </rPh>
    <rPh sb="3" eb="5">
      <t>ショウヒン</t>
    </rPh>
    <rPh sb="6" eb="8">
      <t>ヨヤク</t>
    </rPh>
    <rPh sb="8" eb="10">
      <t>ハッチュウ</t>
    </rPh>
    <rPh sb="12" eb="13">
      <t>ネガ</t>
    </rPh>
    <rPh sb="14" eb="15">
      <t>イタ</t>
    </rPh>
    <phoneticPr fontId="1"/>
  </si>
  <si>
    <t>引取日</t>
    <rPh sb="0" eb="1">
      <t>ヒ</t>
    </rPh>
    <rPh sb="1" eb="2">
      <t>ト</t>
    </rPh>
    <rPh sb="2" eb="3">
      <t>ヒ</t>
    </rPh>
    <phoneticPr fontId="1"/>
  </si>
  <si>
    <t>①</t>
    <phoneticPr fontId="1"/>
  </si>
  <si>
    <t>宜しくお願い致します。</t>
    <rPh sb="0" eb="1">
      <t>ヨロ</t>
    </rPh>
    <rPh sb="4" eb="5">
      <t>ネガ</t>
    </rPh>
    <rPh sb="6" eb="7">
      <t>イタ</t>
    </rPh>
    <phoneticPr fontId="1"/>
  </si>
  <si>
    <t>㈱　ナンキ</t>
    <phoneticPr fontId="1"/>
  </si>
  <si>
    <t>FAX　045-633-1946</t>
    <phoneticPr fontId="1"/>
  </si>
  <si>
    <t>ファ－ムフ－ズ　御中</t>
    <rPh sb="8" eb="10">
      <t>オンチュウ</t>
    </rPh>
    <phoneticPr fontId="1"/>
  </si>
  <si>
    <t>①　コ－ルスロ-（ｋｇ）　　　2　PC　</t>
    <phoneticPr fontId="1"/>
  </si>
  <si>
    <t>日付を入力すると　サヨシのコ-ルスロ-は自動です。</t>
    <rPh sb="0" eb="1">
      <t>ヒ</t>
    </rPh>
    <rPh sb="1" eb="2">
      <t>ツ</t>
    </rPh>
    <rPh sb="3" eb="5">
      <t>ニュウリョク</t>
    </rPh>
    <rPh sb="20" eb="22">
      <t>ジドウ</t>
    </rPh>
    <phoneticPr fontId="1"/>
  </si>
  <si>
    <t>①　コ－ルスロ-（ｋｇ）　　　</t>
    <phoneticPr fontId="1"/>
  </si>
  <si>
    <t>鶏川崎分</t>
    <rPh sb="0" eb="1">
      <t>トリ</t>
    </rPh>
    <rPh sb="1" eb="3">
      <t>カワサキ</t>
    </rPh>
    <rPh sb="3" eb="4">
      <t>ブン</t>
    </rPh>
    <phoneticPr fontId="1"/>
  </si>
  <si>
    <t>②　コ－ルスロ-（ｋｇ）　　　</t>
    <phoneticPr fontId="1"/>
  </si>
  <si>
    <t>　紫金分</t>
    <rPh sb="1" eb="2">
      <t>ムラサキ</t>
    </rPh>
    <rPh sb="2" eb="3">
      <t>キン</t>
    </rPh>
    <rPh sb="3" eb="4">
      <t>ブン</t>
    </rPh>
    <phoneticPr fontId="1"/>
  </si>
  <si>
    <t>③　白髪ネギ</t>
    <rPh sb="2" eb="4">
      <t>シラガ</t>
    </rPh>
    <phoneticPr fontId="1"/>
  </si>
  <si>
    <t>④　コ－ルスロ-（ｋｇ）　　　</t>
    <phoneticPr fontId="1"/>
  </si>
  <si>
    <t>⑤　トッピングキット500ｇ</t>
    <phoneticPr fontId="1"/>
  </si>
  <si>
    <t>タカサゴマル分（定期数量）※休市は配送なし、土曜はカット無</t>
    <rPh sb="6" eb="7">
      <t>ブン</t>
    </rPh>
    <rPh sb="8" eb="10">
      <t>テイキ</t>
    </rPh>
    <rPh sb="10" eb="12">
      <t>スウリョウ</t>
    </rPh>
    <rPh sb="14" eb="15">
      <t>キュウ</t>
    </rPh>
    <rPh sb="15" eb="16">
      <t>イチ</t>
    </rPh>
    <rPh sb="17" eb="19">
      <t>ハイソウ</t>
    </rPh>
    <rPh sb="22" eb="24">
      <t>ドヨウ</t>
    </rPh>
    <rPh sb="28" eb="29">
      <t>ナシ</t>
    </rPh>
    <phoneticPr fontId="1"/>
  </si>
  <si>
    <t>⑥　青ネギｽﾗｲｽ 1.5ｍ/500ｇ</t>
    <rPh sb="2" eb="3">
      <t>アオ</t>
    </rPh>
    <phoneticPr fontId="1"/>
  </si>
  <si>
    <r>
      <t>⑦　コ－ルスロ-（</t>
    </r>
    <r>
      <rPr>
        <b/>
        <u val="double"/>
        <sz val="26"/>
        <color rgb="FFFF0000"/>
        <rFont val="ＭＳ Ｐゴシック"/>
        <family val="3"/>
        <charset val="128"/>
        <scheme val="minor"/>
      </rPr>
      <t>1.5</t>
    </r>
    <r>
      <rPr>
        <u val="double"/>
        <sz val="24"/>
        <color theme="1"/>
        <rFont val="ＭＳ Ｐゴシック"/>
        <family val="3"/>
        <charset val="128"/>
        <scheme val="minor"/>
      </rPr>
      <t>ｋｇ</t>
    </r>
    <r>
      <rPr>
        <sz val="24"/>
        <color theme="1"/>
        <rFont val="ＭＳ Ｐゴシック"/>
        <family val="2"/>
        <charset val="128"/>
        <scheme val="minor"/>
      </rPr>
      <t>）　　　</t>
    </r>
    <phoneticPr fontId="1"/>
  </si>
  <si>
    <t>さよし</t>
    <phoneticPr fontId="1"/>
  </si>
  <si>
    <t>月曜は1.5ｋｇ　木曜は1ｋｇ</t>
    <rPh sb="0" eb="2">
      <t>ゲツヨウ</t>
    </rPh>
    <rPh sb="9" eb="11">
      <t>モクヨウ</t>
    </rPh>
    <phoneticPr fontId="1"/>
  </si>
  <si>
    <t>⑦　コ－ルスロ-（ｋｇ）　　　</t>
    <phoneticPr fontId="1"/>
  </si>
  <si>
    <t>日能産業　御中</t>
    <rPh sb="0" eb="2">
      <t>ニチノウ</t>
    </rPh>
    <rPh sb="2" eb="4">
      <t>サンギョウ</t>
    </rPh>
    <rPh sb="5" eb="7">
      <t>オンチュウ</t>
    </rPh>
    <phoneticPr fontId="1"/>
  </si>
  <si>
    <t>下記　商品の注文をお願い致します。</t>
    <rPh sb="0" eb="2">
      <t>カキ</t>
    </rPh>
    <rPh sb="3" eb="5">
      <t>ショウヒン</t>
    </rPh>
    <rPh sb="6" eb="8">
      <t>チュウモン</t>
    </rPh>
    <rPh sb="10" eb="11">
      <t>ネガ</t>
    </rPh>
    <rPh sb="12" eb="13">
      <t>イタ</t>
    </rPh>
    <phoneticPr fontId="1"/>
  </si>
  <si>
    <t>☆お手数ですが、納品価格を記入して
　　ReFAXして下さい</t>
    <rPh sb="2" eb="4">
      <t>テスウ</t>
    </rPh>
    <rPh sb="8" eb="10">
      <t>ノウヒン</t>
    </rPh>
    <rPh sb="10" eb="12">
      <t>カカク</t>
    </rPh>
    <rPh sb="13" eb="15">
      <t>キニュウ</t>
    </rPh>
    <rPh sb="27" eb="28">
      <t>クダ</t>
    </rPh>
    <phoneticPr fontId="1"/>
  </si>
  <si>
    <t>FAX：03-6635-2802</t>
    <phoneticPr fontId="1"/>
  </si>
  <si>
    <t>価格
↓</t>
    <rPh sb="0" eb="2">
      <t>カカク</t>
    </rPh>
    <phoneticPr fontId="1"/>
  </si>
  <si>
    <t>中国産青ネギ（5ｋｇ）</t>
  </si>
  <si>
    <t>ケース</t>
    <phoneticPr fontId="1"/>
  </si>
  <si>
    <t>②　　</t>
    <phoneticPr fontId="1"/>
  </si>
  <si>
    <t>真空4P剥き玉ねぎ（10入）　</t>
  </si>
  <si>
    <t>③</t>
    <phoneticPr fontId="1"/>
  </si>
  <si>
    <t>④</t>
    <phoneticPr fontId="1"/>
  </si>
  <si>
    <t>プチにんにく(10ｋ入)</t>
  </si>
  <si>
    <t>⑤</t>
    <phoneticPr fontId="1"/>
  </si>
  <si>
    <t>⑥</t>
    <phoneticPr fontId="1"/>
  </si>
  <si>
    <t>中国産生姜(5ｋ入)</t>
  </si>
  <si>
    <t>⑦</t>
    <phoneticPr fontId="1"/>
  </si>
  <si>
    <t>中国産皮付玉葱(20ｋ入)</t>
  </si>
  <si>
    <t>　　　　　　　　　　　宜しくお願い致します。</t>
    <rPh sb="11" eb="12">
      <t>ヨロ</t>
    </rPh>
    <rPh sb="15" eb="16">
      <t>ネガ</t>
    </rPh>
    <rPh sb="17" eb="18">
      <t>イタ</t>
    </rPh>
    <phoneticPr fontId="1"/>
  </si>
  <si>
    <t>※納品はこちらにお願いします→</t>
    <rPh sb="1" eb="3">
      <t>ノウヒン</t>
    </rPh>
    <rPh sb="9" eb="10">
      <t>ネガ</t>
    </rPh>
    <phoneticPr fontId="1"/>
  </si>
  <si>
    <t>レモン（140玉）</t>
    <rPh sb="7" eb="8">
      <t>タマ</t>
    </rPh>
    <phoneticPr fontId="1"/>
  </si>
  <si>
    <t>ムキニンニク（MIX）1k/10入</t>
    <rPh sb="16" eb="17">
      <t>イリ</t>
    </rPh>
    <phoneticPr fontId="1"/>
  </si>
  <si>
    <t>横浜市鶴見区上末吉5-15-5</t>
    <rPh sb="0" eb="6">
      <t>ヨコハマシツルミク</t>
    </rPh>
    <rPh sb="6" eb="9">
      <t>カミスエヨシ</t>
    </rPh>
    <phoneticPr fontId="1"/>
  </si>
  <si>
    <t>ムキニンニク（L）1k/10入</t>
    <rPh sb="14" eb="15">
      <t>イリ</t>
    </rPh>
    <phoneticPr fontId="1"/>
  </si>
  <si>
    <t>泥ごぼう2L（10ｋｇ）</t>
    <rPh sb="0" eb="1">
      <t>ドロ</t>
    </rPh>
    <phoneticPr fontId="1"/>
  </si>
  <si>
    <t>大和芋（棒） 4kg/ｹｰｽ</t>
    <rPh sb="0" eb="2">
      <t>ヤマト</t>
    </rPh>
    <rPh sb="2" eb="3">
      <t>イモ</t>
    </rPh>
    <rPh sb="4" eb="5">
      <t>ボウ</t>
    </rPh>
    <phoneticPr fontId="1"/>
  </si>
  <si>
    <t>もやし2㎏</t>
    <phoneticPr fontId="1"/>
  </si>
  <si>
    <t>CS</t>
    <phoneticPr fontId="1"/>
  </si>
  <si>
    <t>30（50）</t>
    <phoneticPr fontId="1"/>
  </si>
  <si>
    <t>いちご 国産</t>
    <rPh sb="4" eb="6">
      <t>コクサン</t>
    </rPh>
    <phoneticPr fontId="1"/>
  </si>
  <si>
    <t>2(0)</t>
    <phoneticPr fontId="1"/>
  </si>
  <si>
    <t>剥き玉ねぎバラ（10ｋｇ）</t>
    <phoneticPr fontId="1"/>
  </si>
  <si>
    <t>長ネギ　２Ｌ</t>
    <rPh sb="0" eb="1">
      <t>ナガ</t>
    </rPh>
    <phoneticPr fontId="1"/>
  </si>
  <si>
    <t>トマト　2L</t>
    <phoneticPr fontId="1"/>
  </si>
  <si>
    <r>
      <rPr>
        <b/>
        <sz val="16"/>
        <color theme="1"/>
        <rFont val="ＭＳ Ｐゴシック"/>
        <family val="3"/>
        <charset val="128"/>
        <scheme val="minor"/>
      </rPr>
      <t>↑</t>
    </r>
    <r>
      <rPr>
        <sz val="11"/>
        <color theme="1"/>
        <rFont val="ＭＳ Ｐゴシック"/>
        <family val="2"/>
        <charset val="128"/>
        <scheme val="minor"/>
      </rPr>
      <t>　
1/24より、しばらく無し</t>
    </r>
    <rPh sb="14" eb="15">
      <t>ナ</t>
    </rPh>
    <phoneticPr fontId="1"/>
  </si>
  <si>
    <t>16&lt;（24）&gt;</t>
    <phoneticPr fontId="1"/>
  </si>
  <si>
    <t>25(30)</t>
    <phoneticPr fontId="1"/>
  </si>
  <si>
    <r>
      <t>下記　</t>
    </r>
    <r>
      <rPr>
        <b/>
        <sz val="20"/>
        <color theme="1"/>
        <rFont val="ＭＳ Ｐゴシック"/>
        <family val="3"/>
        <charset val="128"/>
        <scheme val="minor"/>
      </rPr>
      <t>定期商品</t>
    </r>
    <r>
      <rPr>
        <sz val="16"/>
        <color theme="1"/>
        <rFont val="ＭＳ Ｐゴシック"/>
        <family val="3"/>
        <charset val="128"/>
        <scheme val="minor"/>
      </rPr>
      <t>の</t>
    </r>
    <r>
      <rPr>
        <b/>
        <u val="double"/>
        <sz val="26"/>
        <color theme="1"/>
        <rFont val="ＭＳ Ｐゴシック"/>
        <family val="3"/>
        <charset val="128"/>
        <scheme val="minor"/>
      </rPr>
      <t>キャンセル</t>
    </r>
    <r>
      <rPr>
        <sz val="16"/>
        <color theme="1"/>
        <rFont val="ＭＳ Ｐゴシック"/>
        <family val="3"/>
        <charset val="128"/>
        <scheme val="minor"/>
      </rPr>
      <t>お願い致します。</t>
    </r>
    <rPh sb="0" eb="2">
      <t>カキ</t>
    </rPh>
    <rPh sb="3" eb="5">
      <t>テイキ</t>
    </rPh>
    <rPh sb="5" eb="7">
      <t>ショウヒン</t>
    </rPh>
    <rPh sb="14" eb="15">
      <t>ネガ</t>
    </rPh>
    <rPh sb="16" eb="17">
      <t>イタ</t>
    </rPh>
    <phoneticPr fontId="1"/>
  </si>
  <si>
    <t>&lt;&gt;→火
（）→金</t>
    <rPh sb="3" eb="4">
      <t>カ</t>
    </rPh>
    <rPh sb="8" eb="9">
      <t>キン</t>
    </rPh>
    <phoneticPr fontId="1"/>
  </si>
  <si>
    <t>肉っこ餃子</t>
    <rPh sb="0" eb="1">
      <t>ニク</t>
    </rPh>
    <rPh sb="3" eb="5">
      <t>ギョウザ</t>
    </rPh>
    <phoneticPr fontId="1"/>
  </si>
  <si>
    <t>しそ餃子</t>
    <rPh sb="2" eb="4">
      <t>ギョウザ</t>
    </rPh>
    <phoneticPr fontId="1"/>
  </si>
  <si>
    <t>②</t>
    <phoneticPr fontId="1"/>
  </si>
  <si>
    <t>③</t>
    <phoneticPr fontId="1"/>
  </si>
  <si>
    <t>④</t>
    <phoneticPr fontId="1"/>
  </si>
  <si>
    <t>大和芋　棒　群馬産</t>
    <rPh sb="0" eb="2">
      <t>ヤマト</t>
    </rPh>
    <rPh sb="2" eb="3">
      <t>イモ</t>
    </rPh>
    <rPh sb="4" eb="5">
      <t>ボウ</t>
    </rPh>
    <rPh sb="6" eb="8">
      <t>グンマ</t>
    </rPh>
    <rPh sb="8" eb="9">
      <t>サン</t>
    </rPh>
    <phoneticPr fontId="1"/>
  </si>
  <si>
    <t>切り大根</t>
    <rPh sb="0" eb="1">
      <t>キ</t>
    </rPh>
    <rPh sb="2" eb="4">
      <t>ダイコン</t>
    </rPh>
    <phoneticPr fontId="1"/>
  </si>
  <si>
    <t>泥ごぼう（輸入）　10㎏　　　</t>
    <rPh sb="0" eb="1">
      <t>ドロ</t>
    </rPh>
    <rPh sb="5" eb="7">
      <t>ユニュウ</t>
    </rPh>
    <phoneticPr fontId="1"/>
  </si>
  <si>
    <t>下記　商品をお願い致します。</t>
    <rPh sb="0" eb="2">
      <t>カキ</t>
    </rPh>
    <rPh sb="3" eb="5">
      <t>ショウヒン</t>
    </rPh>
    <rPh sb="7" eb="8">
      <t>ネガ</t>
    </rPh>
    <rPh sb="9" eb="10">
      <t>イタ</t>
    </rPh>
    <phoneticPr fontId="1"/>
  </si>
  <si>
    <t>りんご</t>
  </si>
  <si>
    <t>15入</t>
    <rPh sb="2" eb="3">
      <t>イリ</t>
    </rPh>
    <phoneticPr fontId="1"/>
  </si>
  <si>
    <t>10入</t>
    <rPh sb="2" eb="3">
      <t>イリ</t>
    </rPh>
    <phoneticPr fontId="1"/>
  </si>
  <si>
    <t>※青ネギｽﾗｲｽ 1.5ｍのサンプルお願いします</t>
    <rPh sb="1" eb="2">
      <t>アオ</t>
    </rPh>
    <rPh sb="19" eb="20">
      <t>ネガ</t>
    </rPh>
    <phoneticPr fontId="1"/>
  </si>
  <si>
    <t>　</t>
    <phoneticPr fontId="1"/>
  </si>
  <si>
    <t>⑦　青ネギｽﾗｲｽ 1.5ｍ/500ｇ</t>
    <rPh sb="2" eb="3">
      <t>アオ</t>
    </rPh>
    <phoneticPr fontId="1"/>
  </si>
  <si>
    <t>田じま分</t>
    <rPh sb="0" eb="1">
      <t>タ</t>
    </rPh>
    <rPh sb="3" eb="4">
      <t>ブン</t>
    </rPh>
    <phoneticPr fontId="1"/>
  </si>
  <si>
    <t>⑧　コ－ルスロ-（1ｋｇ）　　　</t>
    <phoneticPr fontId="1"/>
  </si>
  <si>
    <t>本シメジ（ほぐし）500ｇ</t>
    <rPh sb="0" eb="1">
      <t>ホン</t>
    </rPh>
    <phoneticPr fontId="1"/>
  </si>
  <si>
    <t>梨</t>
    <rPh sb="0" eb="1">
      <t>ナシ</t>
    </rPh>
    <phoneticPr fontId="1"/>
  </si>
  <si>
    <t>20入</t>
    <rPh sb="2" eb="3">
      <t>イリ</t>
    </rPh>
    <phoneticPr fontId="1"/>
  </si>
  <si>
    <t>肉っこ餃子15粒</t>
    <rPh sb="0" eb="1">
      <t>ニク</t>
    </rPh>
    <rPh sb="3" eb="5">
      <t>ギョウザ</t>
    </rPh>
    <rPh sb="7" eb="8">
      <t>ツブ</t>
    </rPh>
    <phoneticPr fontId="1"/>
  </si>
  <si>
    <t>しそ餃子15粒</t>
    <rPh sb="2" eb="4">
      <t>ギョウザ</t>
    </rPh>
    <rPh sb="6" eb="7">
      <t>ツブ</t>
    </rPh>
    <phoneticPr fontId="1"/>
  </si>
  <si>
    <t>べじっこ餃子15粒</t>
    <rPh sb="4" eb="6">
      <t>ギョウザ</t>
    </rPh>
    <rPh sb="8" eb="9">
      <t>ツブ</t>
    </rPh>
    <phoneticPr fontId="1"/>
  </si>
  <si>
    <t>切り大根　　15ｋｇ</t>
    <rPh sb="0" eb="1">
      <t>キ</t>
    </rPh>
    <rPh sb="2" eb="4">
      <t>ダイコン</t>
    </rPh>
    <phoneticPr fontId="1"/>
  </si>
  <si>
    <t>アーリーレッド　10ｋｇ</t>
    <phoneticPr fontId="1"/>
  </si>
  <si>
    <t>レモン　B</t>
    <phoneticPr fontId="1"/>
  </si>
  <si>
    <t>中国産人参(10ｋｇ)　　３L</t>
    <phoneticPr fontId="1"/>
  </si>
  <si>
    <t>えのき200g</t>
    <phoneticPr fontId="1"/>
  </si>
  <si>
    <t>七志らーめん　相模原店</t>
    <rPh sb="0" eb="1">
      <t>シチ</t>
    </rPh>
    <rPh sb="1" eb="2">
      <t>シ</t>
    </rPh>
    <rPh sb="7" eb="11">
      <t>サガミハラテン</t>
    </rPh>
    <phoneticPr fontId="1"/>
  </si>
  <si>
    <t>アクティブギア　御中</t>
    <rPh sb="8" eb="10">
      <t>オンチュウ</t>
    </rPh>
    <phoneticPr fontId="1"/>
  </si>
  <si>
    <t>　注文日</t>
    <rPh sb="1" eb="4">
      <t>チュウモンビ</t>
    </rPh>
    <phoneticPr fontId="1"/>
  </si>
  <si>
    <t>お手数ですが、納品予定日をお知らせ下さい</t>
    <rPh sb="1" eb="3">
      <t>テスウ</t>
    </rPh>
    <rPh sb="7" eb="12">
      <t>ノウヒンヨテイビ</t>
    </rPh>
    <rPh sb="14" eb="15">
      <t>シ</t>
    </rPh>
    <rPh sb="17" eb="18">
      <t>クダ</t>
    </rPh>
    <phoneticPr fontId="1"/>
  </si>
  <si>
    <t>横浜市鶴見区上末吉5-1-5</t>
    <rPh sb="0" eb="3">
      <t>ヨコハマシ</t>
    </rPh>
    <rPh sb="3" eb="6">
      <t>ツルミク</t>
    </rPh>
    <rPh sb="6" eb="9">
      <t>カミスエヨシ</t>
    </rPh>
    <phoneticPr fontId="1"/>
  </si>
  <si>
    <t>TEL：045-633-1927</t>
    <phoneticPr fontId="1"/>
  </si>
  <si>
    <t>FAX：045-633-1946</t>
    <phoneticPr fontId="1"/>
  </si>
  <si>
    <t>　　タカサゴ、火曜は下記数　　　　　　　　　　　　　　　　　　　　　　　</t>
    <rPh sb="7" eb="9">
      <t>カヨウ</t>
    </rPh>
    <rPh sb="10" eb="12">
      <t>カキ</t>
    </rPh>
    <rPh sb="12" eb="13">
      <t>カズ</t>
    </rPh>
    <phoneticPr fontId="1"/>
  </si>
  <si>
    <t>通常</t>
    <rPh sb="0" eb="2">
      <t>ツウジョウ</t>
    </rPh>
    <phoneticPr fontId="1"/>
  </si>
  <si>
    <t>土曜</t>
    <rPh sb="0" eb="2">
      <t>ドヨウ</t>
    </rPh>
    <phoneticPr fontId="1"/>
  </si>
  <si>
    <t>2s</t>
    <phoneticPr fontId="1"/>
  </si>
  <si>
    <t>カットわかめ 鳴門産15kg</t>
    <rPh sb="7" eb="10">
      <t>ナルトサン</t>
    </rPh>
    <phoneticPr fontId="1"/>
  </si>
  <si>
    <t>カットわかめ 鳴門産</t>
    <rPh sb="7" eb="10">
      <t>ナルトサン</t>
    </rPh>
    <phoneticPr fontId="1"/>
  </si>
  <si>
    <t>前日残</t>
    <rPh sb="0" eb="2">
      <t>ゼンジツ</t>
    </rPh>
    <rPh sb="2" eb="3">
      <t>ザン</t>
    </rPh>
    <phoneticPr fontId="1"/>
  </si>
  <si>
    <t>1日付け伝票分
（前日ピック済分）</t>
    <rPh sb="1" eb="2">
      <t>ニチ</t>
    </rPh>
    <rPh sb="2" eb="3">
      <t>ツ</t>
    </rPh>
    <rPh sb="4" eb="7">
      <t>デンピョウブン</t>
    </rPh>
    <rPh sb="9" eb="11">
      <t>ゼンジツ</t>
    </rPh>
    <rPh sb="14" eb="15">
      <t>ズ</t>
    </rPh>
    <rPh sb="15" eb="16">
      <t>ブン</t>
    </rPh>
    <phoneticPr fontId="1"/>
  </si>
  <si>
    <t>　　　↑
　※6/30納品分より変更</t>
    <phoneticPr fontId="1"/>
  </si>
  <si>
    <t>長いも　2L</t>
    <rPh sb="0" eb="1">
      <t>ナガ</t>
    </rPh>
    <phoneticPr fontId="1"/>
  </si>
  <si>
    <t>15&lt;(20)&gt;</t>
    <phoneticPr fontId="1"/>
  </si>
  <si>
    <t>大津　御中</t>
    <rPh sb="0" eb="2">
      <t>オオツ</t>
    </rPh>
    <rPh sb="3" eb="5">
      <t>オンチュウ</t>
    </rPh>
    <phoneticPr fontId="1"/>
  </si>
  <si>
    <t>えのき100g</t>
    <phoneticPr fontId="1"/>
  </si>
  <si>
    <t>ブナピー100g</t>
    <phoneticPr fontId="1"/>
  </si>
  <si>
    <t>かきのき茸</t>
    <rPh sb="4" eb="5">
      <t>タケ</t>
    </rPh>
    <phoneticPr fontId="1"/>
  </si>
  <si>
    <t>スペアミント</t>
    <phoneticPr fontId="1"/>
  </si>
  <si>
    <t>生クリーム200ｇ</t>
    <rPh sb="0" eb="1">
      <t>ナマ</t>
    </rPh>
    <phoneticPr fontId="1"/>
  </si>
  <si>
    <t>1ｃｓ</t>
    <phoneticPr fontId="1"/>
  </si>
  <si>
    <r>
      <t>下記　商品の</t>
    </r>
    <r>
      <rPr>
        <b/>
        <sz val="20"/>
        <color theme="1"/>
        <rFont val="ＭＳ Ｐゴシック"/>
        <family val="3"/>
        <charset val="128"/>
        <scheme val="minor"/>
      </rPr>
      <t>追加</t>
    </r>
    <r>
      <rPr>
        <sz val="16"/>
        <color theme="1"/>
        <rFont val="ＭＳ Ｐゴシック"/>
        <family val="3"/>
        <charset val="128"/>
        <scheme val="minor"/>
      </rPr>
      <t>をお願い致します。</t>
    </r>
    <rPh sb="0" eb="2">
      <t>カキ</t>
    </rPh>
    <rPh sb="3" eb="5">
      <t>ショウヒン</t>
    </rPh>
    <rPh sb="6" eb="8">
      <t>ツイカ</t>
    </rPh>
    <rPh sb="10" eb="11">
      <t>ネガ</t>
    </rPh>
    <rPh sb="12" eb="13">
      <t>イタ</t>
    </rPh>
    <phoneticPr fontId="1"/>
  </si>
  <si>
    <t>八治　御中</t>
    <rPh sb="0" eb="1">
      <t>ハチ</t>
    </rPh>
    <rPh sb="1" eb="2">
      <t>ジ</t>
    </rPh>
    <rPh sb="3" eb="5">
      <t>オンチュウ</t>
    </rPh>
    <phoneticPr fontId="1"/>
  </si>
  <si>
    <t>定貞　御中</t>
    <rPh sb="0" eb="2">
      <t>サダテイ</t>
    </rPh>
    <rPh sb="3" eb="5">
      <t>オンチュウ</t>
    </rPh>
    <phoneticPr fontId="1"/>
  </si>
  <si>
    <t>10（12）</t>
    <phoneticPr fontId="1"/>
  </si>
  <si>
    <t>15（20）</t>
    <phoneticPr fontId="1"/>
  </si>
  <si>
    <t>末広　御中</t>
    <rPh sb="0" eb="2">
      <t>スエヒロ</t>
    </rPh>
    <rPh sb="3" eb="5">
      <t>オンチュウ</t>
    </rPh>
    <phoneticPr fontId="1"/>
  </si>
  <si>
    <t>⑧</t>
    <phoneticPr fontId="1"/>
  </si>
  <si>
    <t>甘夏</t>
    <rPh sb="0" eb="2">
      <t>アマナツ</t>
    </rPh>
    <phoneticPr fontId="1"/>
  </si>
  <si>
    <t>すいか</t>
    <phoneticPr fontId="1"/>
  </si>
  <si>
    <t>大治　御中</t>
    <rPh sb="0" eb="2">
      <t>ダイハル</t>
    </rPh>
    <rPh sb="3" eb="5">
      <t>オンチュウ</t>
    </rPh>
    <phoneticPr fontId="1"/>
  </si>
  <si>
    <t>東梅　御中</t>
    <rPh sb="0" eb="1">
      <t>ヒガシ</t>
    </rPh>
    <rPh sb="1" eb="2">
      <t>ウメ</t>
    </rPh>
    <rPh sb="3" eb="5">
      <t>オンチュウ</t>
    </rPh>
    <phoneticPr fontId="1"/>
  </si>
  <si>
    <t>タンタン餃子</t>
    <rPh sb="4" eb="6">
      <t>ギョウザ</t>
    </rPh>
    <phoneticPr fontId="1"/>
  </si>
  <si>
    <t>みょうが</t>
    <phoneticPr fontId="1"/>
  </si>
  <si>
    <t>レモン　115玉</t>
    <rPh sb="7" eb="8">
      <t>タマ</t>
    </rPh>
    <phoneticPr fontId="1"/>
  </si>
  <si>
    <t>松武　御中</t>
    <rPh sb="0" eb="2">
      <t>マツブ</t>
    </rPh>
    <rPh sb="3" eb="5">
      <t>オンチュウ</t>
    </rPh>
    <phoneticPr fontId="1"/>
  </si>
  <si>
    <t>野菜餃子</t>
    <rPh sb="0" eb="2">
      <t>ヤサイ</t>
    </rPh>
    <rPh sb="2" eb="4">
      <t>ギョウザ</t>
    </rPh>
    <phoneticPr fontId="1"/>
  </si>
  <si>
    <t>小玉スイカ</t>
    <rPh sb="0" eb="2">
      <t>コダマ</t>
    </rPh>
    <phoneticPr fontId="1"/>
  </si>
  <si>
    <t>1ｃｓ</t>
  </si>
  <si>
    <t>14入</t>
    <rPh sb="2" eb="3">
      <t>イリ</t>
    </rPh>
    <phoneticPr fontId="1"/>
  </si>
  <si>
    <t>レモン風味餃子　24粒</t>
    <rPh sb="3" eb="5">
      <t>フウミ</t>
    </rPh>
    <rPh sb="5" eb="7">
      <t>ギョウザ</t>
    </rPh>
    <rPh sb="10" eb="11">
      <t>ツブ</t>
    </rPh>
    <phoneticPr fontId="1"/>
  </si>
  <si>
    <t>白菜漬け　500ｇ</t>
    <rPh sb="0" eb="3">
      <t>ハクサイヅ</t>
    </rPh>
    <phoneticPr fontId="1"/>
  </si>
  <si>
    <t>フリルレタス</t>
    <phoneticPr fontId="1"/>
  </si>
  <si>
    <t>みかん　M</t>
    <phoneticPr fontId="1"/>
  </si>
  <si>
    <t>里芋</t>
    <rPh sb="0" eb="2">
      <t>サトイモ</t>
    </rPh>
    <phoneticPr fontId="1"/>
  </si>
  <si>
    <t>焼豆腐</t>
    <rPh sb="0" eb="3">
      <t>ヤキトウフ</t>
    </rPh>
    <phoneticPr fontId="1"/>
  </si>
  <si>
    <t>入船　御中</t>
    <rPh sb="0" eb="2">
      <t>イリフネ</t>
    </rPh>
    <rPh sb="3" eb="5">
      <t>オンチュウ</t>
    </rPh>
    <phoneticPr fontId="1"/>
  </si>
  <si>
    <t>レモン　　140玉</t>
    <rPh sb="8" eb="9">
      <t>タマ</t>
    </rPh>
    <phoneticPr fontId="1"/>
  </si>
  <si>
    <t>中延園食品　御中</t>
    <rPh sb="0" eb="2">
      <t>ナカノブ</t>
    </rPh>
    <rPh sb="2" eb="3">
      <t>エン</t>
    </rPh>
    <rPh sb="3" eb="5">
      <t>ショクヒン</t>
    </rPh>
    <rPh sb="6" eb="8">
      <t>オンチュウ</t>
    </rPh>
    <phoneticPr fontId="1"/>
  </si>
  <si>
    <t>申し訳ございませんが、注文の変更をお願い致します。</t>
    <rPh sb="0" eb="1">
      <t>モウ</t>
    </rPh>
    <rPh sb="2" eb="3">
      <t>ワケ</t>
    </rPh>
    <rPh sb="11" eb="13">
      <t>チュウモン</t>
    </rPh>
    <rPh sb="14" eb="16">
      <t>ヘンコウ</t>
    </rPh>
    <rPh sb="18" eb="19">
      <t>ネガ</t>
    </rPh>
    <rPh sb="20" eb="21">
      <t>イタ</t>
    </rPh>
    <phoneticPr fontId="1"/>
  </si>
  <si>
    <t>　小袋もやし250ｇ</t>
    <rPh sb="1" eb="3">
      <t>コブクロ</t>
    </rPh>
    <phoneticPr fontId="1"/>
  </si>
  <si>
    <t>（当初注文　　　ｃｓ　+　　　ｃｓ＝合計　　ｃｓ）</t>
    <rPh sb="1" eb="3">
      <t>トウショ</t>
    </rPh>
    <rPh sb="3" eb="5">
      <t>チュウモン</t>
    </rPh>
    <rPh sb="18" eb="20">
      <t>ゴウケイ</t>
    </rPh>
    <phoneticPr fontId="1"/>
  </si>
  <si>
    <t>　業務用もやし2ｋｇ</t>
    <rPh sb="1" eb="4">
      <t>ギョウムヨウ</t>
    </rPh>
    <phoneticPr fontId="1"/>
  </si>
  <si>
    <t>以上　宜しくお願い致します。</t>
    <rPh sb="0" eb="2">
      <t>イジョウ</t>
    </rPh>
    <rPh sb="3" eb="4">
      <t>ヨロ</t>
    </rPh>
    <phoneticPr fontId="1"/>
  </si>
  <si>
    <t>㈱ナンキ</t>
    <phoneticPr fontId="1"/>
  </si>
  <si>
    <t>いよかん</t>
    <phoneticPr fontId="1"/>
  </si>
  <si>
    <t>油揚げ</t>
    <rPh sb="0" eb="2">
      <t>アブラア</t>
    </rPh>
    <phoneticPr fontId="1"/>
  </si>
  <si>
    <t>ブロッコリースプラウト</t>
    <phoneticPr fontId="1"/>
  </si>
  <si>
    <t>30（60）</t>
    <phoneticPr fontId="1"/>
  </si>
  <si>
    <t>八朔</t>
    <rPh sb="0" eb="2">
      <t>ハッサク</t>
    </rPh>
    <phoneticPr fontId="1"/>
  </si>
  <si>
    <t>（当初注文　　　ｐｃ　+　　　ｐｃ＝合計　　ｐｃ）</t>
    <rPh sb="1" eb="3">
      <t>トウショ</t>
    </rPh>
    <rPh sb="3" eb="5">
      <t>チュウモン</t>
    </rPh>
    <rPh sb="18" eb="20">
      <t>ゴウケイ</t>
    </rPh>
    <phoneticPr fontId="1"/>
  </si>
  <si>
    <t>⑨</t>
    <phoneticPr fontId="1"/>
  </si>
  <si>
    <t>生姜　パック国産100g</t>
    <rPh sb="0" eb="2">
      <t>ショウガ</t>
    </rPh>
    <rPh sb="6" eb="8">
      <t>コクサン</t>
    </rPh>
    <phoneticPr fontId="1"/>
  </si>
  <si>
    <t>大治　御中</t>
    <rPh sb="0" eb="2">
      <t>ダイジ</t>
    </rPh>
    <rPh sb="3" eb="5">
      <t>オンチュウ</t>
    </rPh>
    <phoneticPr fontId="1"/>
  </si>
  <si>
    <t>清見オレンジ</t>
    <rPh sb="0" eb="2">
      <t>キヨミ</t>
    </rPh>
    <phoneticPr fontId="1"/>
  </si>
  <si>
    <t>　引取り日</t>
    <rPh sb="1" eb="3">
      <t>ヒキト</t>
    </rPh>
    <rPh sb="4" eb="5">
      <t>ヒ</t>
    </rPh>
    <phoneticPr fontId="1"/>
  </si>
  <si>
    <t>卵MSケース　10ｋ箱</t>
    <rPh sb="0" eb="1">
      <t>タマゴ</t>
    </rPh>
    <rPh sb="10" eb="11">
      <t>ハコ</t>
    </rPh>
    <phoneticPr fontId="1"/>
  </si>
  <si>
    <t>丸千　　御中</t>
    <rPh sb="0" eb="2">
      <t>マルセン</t>
    </rPh>
    <rPh sb="4" eb="6">
      <t>オンチュウ</t>
    </rPh>
    <phoneticPr fontId="1"/>
  </si>
  <si>
    <t>チンゲン菜　2株入</t>
    <rPh sb="4" eb="5">
      <t>サイ</t>
    </rPh>
    <rPh sb="7" eb="9">
      <t>カブイ</t>
    </rPh>
    <phoneticPr fontId="1"/>
  </si>
  <si>
    <t>にら　10束入</t>
    <rPh sb="5" eb="7">
      <t>タバイ</t>
    </rPh>
    <phoneticPr fontId="1"/>
  </si>
  <si>
    <t>ｃｓ</t>
  </si>
  <si>
    <t>コリアンダー</t>
  </si>
  <si>
    <t>松武　御中</t>
    <rPh sb="0" eb="1">
      <t>マツ</t>
    </rPh>
    <rPh sb="1" eb="2">
      <t>ブ</t>
    </rPh>
    <rPh sb="3" eb="5">
      <t>オンチュウ</t>
    </rPh>
    <phoneticPr fontId="1"/>
  </si>
  <si>
    <t>たけし君　ゆず</t>
    <rPh sb="3" eb="4">
      <t>クン</t>
    </rPh>
    <phoneticPr fontId="1"/>
  </si>
  <si>
    <t>ミニアスパラ</t>
    <phoneticPr fontId="1"/>
  </si>
  <si>
    <t>輸入イチゴ</t>
    <rPh sb="0" eb="2">
      <t>ユニュウ</t>
    </rPh>
    <phoneticPr fontId="1"/>
  </si>
  <si>
    <t>えのき茸　200ｇ</t>
    <rPh sb="3" eb="4">
      <t>タケ</t>
    </rPh>
    <phoneticPr fontId="1"/>
  </si>
  <si>
    <t>新玉ねぎ　L　　10ｋｇ</t>
    <rPh sb="0" eb="2">
      <t>シンタマ</t>
    </rPh>
    <phoneticPr fontId="1"/>
  </si>
  <si>
    <t>糸三つ葉</t>
    <rPh sb="0" eb="2">
      <t>イトミ</t>
    </rPh>
    <rPh sb="3" eb="4">
      <t>バ</t>
    </rPh>
    <phoneticPr fontId="1"/>
  </si>
  <si>
    <t>メロン　青肉</t>
    <rPh sb="4" eb="6">
      <t>アオニク</t>
    </rPh>
    <phoneticPr fontId="1"/>
  </si>
  <si>
    <t>17（20）</t>
    <phoneticPr fontId="1"/>
  </si>
  <si>
    <t>長ネギ　2L</t>
    <rPh sb="0" eb="1">
      <t>ナガ</t>
    </rPh>
    <phoneticPr fontId="1"/>
  </si>
  <si>
    <t>万能ねぎ　L</t>
    <rPh sb="0" eb="2">
      <t>バンノウ</t>
    </rPh>
    <phoneticPr fontId="1"/>
  </si>
  <si>
    <t>サニーレタス</t>
    <phoneticPr fontId="1"/>
  </si>
  <si>
    <t>20&lt;(25)&gt;</t>
    <phoneticPr fontId="1"/>
  </si>
  <si>
    <r>
      <t>大和芋　棒　</t>
    </r>
    <r>
      <rPr>
        <b/>
        <sz val="16"/>
        <color theme="1"/>
        <rFont val="ＭＳ Ｐゴシック"/>
        <family val="3"/>
        <charset val="128"/>
        <scheme val="minor"/>
      </rPr>
      <t>群馬産(千葉以外）</t>
    </r>
    <rPh sb="0" eb="2">
      <t>ヤマト</t>
    </rPh>
    <rPh sb="2" eb="3">
      <t>イモ</t>
    </rPh>
    <rPh sb="4" eb="5">
      <t>ボウ</t>
    </rPh>
    <rPh sb="6" eb="8">
      <t>グンマ</t>
    </rPh>
    <rPh sb="8" eb="9">
      <t>サン</t>
    </rPh>
    <rPh sb="10" eb="12">
      <t>チバ</t>
    </rPh>
    <rPh sb="12" eb="14">
      <t>イガイ</t>
    </rPh>
    <phoneticPr fontId="1"/>
  </si>
  <si>
    <r>
      <t>キュウリ　AL</t>
    </r>
    <r>
      <rPr>
        <sz val="18"/>
        <color theme="1"/>
        <rFont val="ＭＳ Ｐゴシック"/>
        <family val="3"/>
        <charset val="128"/>
        <scheme val="minor"/>
      </rPr>
      <t>（真っ直ぐの物）</t>
    </r>
    <rPh sb="8" eb="9">
      <t>マ</t>
    </rPh>
    <rPh sb="10" eb="11">
      <t>ス</t>
    </rPh>
    <rPh sb="13" eb="14">
      <t>モノ</t>
    </rPh>
    <phoneticPr fontId="1"/>
  </si>
  <si>
    <r>
      <t>柱：D　　駐車場：</t>
    </r>
    <r>
      <rPr>
        <b/>
        <sz val="22"/>
        <color theme="1"/>
        <rFont val="ＭＳ Ｐゴシック"/>
        <family val="3"/>
        <charset val="128"/>
        <scheme val="minor"/>
      </rPr>
      <t>18番</t>
    </r>
    <rPh sb="0" eb="1">
      <t>ハシラ</t>
    </rPh>
    <rPh sb="5" eb="8">
      <t>チュウシャジョウ</t>
    </rPh>
    <rPh sb="11" eb="12">
      <t>バン</t>
    </rPh>
    <phoneticPr fontId="1"/>
  </si>
  <si>
    <t>　　　　月　　　日　　　曜日（　　/　（　　）夜納品）分</t>
    <rPh sb="4" eb="5">
      <t>ガツ</t>
    </rPh>
    <rPh sb="8" eb="9">
      <t>ニチ</t>
    </rPh>
    <rPh sb="12" eb="14">
      <t>ヨウビ</t>
    </rPh>
    <rPh sb="23" eb="24">
      <t>ヨル</t>
    </rPh>
    <rPh sb="24" eb="26">
      <t>ノウヒン</t>
    </rPh>
    <rPh sb="27" eb="28">
      <t>ブン</t>
    </rPh>
    <phoneticPr fontId="1"/>
  </si>
  <si>
    <t>トマト　M　　24入</t>
    <rPh sb="9" eb="10">
      <t>イ</t>
    </rPh>
    <phoneticPr fontId="1"/>
  </si>
  <si>
    <t>とうもろこし　2L又はL</t>
    <rPh sb="9" eb="10">
      <t>マタ</t>
    </rPh>
    <phoneticPr fontId="1"/>
  </si>
  <si>
    <t>コリアンダー (100g)</t>
    <phoneticPr fontId="1"/>
  </si>
  <si>
    <t>茄子FG（5本入）PC（短め）</t>
    <rPh sb="0" eb="2">
      <t>ナス</t>
    </rPh>
    <rPh sb="6" eb="8">
      <t>ホンイ</t>
    </rPh>
    <rPh sb="12" eb="13">
      <t>ミジカ</t>
    </rPh>
    <phoneticPr fontId="1"/>
  </si>
  <si>
    <t>50（80）</t>
    <phoneticPr fontId="1"/>
  </si>
  <si>
    <t>420(560)</t>
    <phoneticPr fontId="1"/>
  </si>
  <si>
    <t>8（10）</t>
    <phoneticPr fontId="1"/>
  </si>
  <si>
    <t>ムキニンニク　1ｋｇ</t>
  </si>
  <si>
    <t>（品物良ければ輸入でも結構です）</t>
  </si>
  <si>
    <t>30(50)</t>
    <phoneticPr fontId="1"/>
  </si>
  <si>
    <t>種なし柿</t>
    <rPh sb="0" eb="1">
      <t>タネ</t>
    </rPh>
    <rPh sb="3" eb="4">
      <t>カキ</t>
    </rPh>
    <phoneticPr fontId="1"/>
  </si>
  <si>
    <t>※　早川倉庫　　引取り</t>
    <rPh sb="2" eb="4">
      <t>ハヤカワ</t>
    </rPh>
    <rPh sb="4" eb="6">
      <t>ソウコ</t>
    </rPh>
    <rPh sb="8" eb="10">
      <t>ヒキト</t>
    </rPh>
    <phoneticPr fontId="1"/>
  </si>
  <si>
    <t>ニンニク輸入　1ｋｇ</t>
    <rPh sb="4" eb="6">
      <t>ユニュウ</t>
    </rPh>
    <phoneticPr fontId="1"/>
  </si>
  <si>
    <t>レタス　（大きめ）</t>
    <rPh sb="5" eb="6">
      <t>オオ</t>
    </rPh>
    <phoneticPr fontId="1"/>
  </si>
  <si>
    <t>ＣＳ</t>
    <phoneticPr fontId="1"/>
  </si>
  <si>
    <t>七志　ガーリック餃子</t>
    <rPh sb="0" eb="1">
      <t>ナナ</t>
    </rPh>
    <rPh sb="1" eb="2">
      <t>シ</t>
    </rPh>
    <rPh sb="8" eb="10">
      <t>ギョウザ</t>
    </rPh>
    <phoneticPr fontId="1"/>
  </si>
  <si>
    <t>ケース</t>
  </si>
  <si>
    <t>みかん　L</t>
    <phoneticPr fontId="1"/>
  </si>
  <si>
    <t>柿 種なし</t>
    <rPh sb="0" eb="1">
      <t>カキ</t>
    </rPh>
    <rPh sb="2" eb="3">
      <t>タネ</t>
    </rPh>
    <phoneticPr fontId="1"/>
  </si>
  <si>
    <t>pc</t>
  </si>
  <si>
    <t>（申し訳ございませんが</t>
    <rPh sb="1" eb="2">
      <t>モウ</t>
    </rPh>
    <rPh sb="3" eb="4">
      <t>ワケ</t>
    </rPh>
    <phoneticPr fontId="1"/>
  </si>
  <si>
    <t>いちご　A　秀　（L・2L）</t>
    <rPh sb="6" eb="7">
      <t>シュウ</t>
    </rPh>
    <phoneticPr fontId="1"/>
  </si>
  <si>
    <t>なるべく粒ぞろいのものでお願い致します）</t>
    <rPh sb="4" eb="5">
      <t>ツブ</t>
    </rPh>
    <rPh sb="13" eb="14">
      <t>ネガ</t>
    </rPh>
    <rPh sb="15" eb="16">
      <t>イタ</t>
    </rPh>
    <phoneticPr fontId="1"/>
  </si>
  <si>
    <t>焼豆腐　300ｇ</t>
    <rPh sb="0" eb="3">
      <t>ヤキトウフ</t>
    </rPh>
    <phoneticPr fontId="1"/>
  </si>
  <si>
    <t>米　（ブレンド米）　5kg/pc</t>
    <rPh sb="0" eb="1">
      <t>コメ</t>
    </rPh>
    <rPh sb="7" eb="8">
      <t>マイ</t>
    </rPh>
    <phoneticPr fontId="1"/>
  </si>
  <si>
    <r>
      <t>下記　商品の</t>
    </r>
    <r>
      <rPr>
        <b/>
        <sz val="16"/>
        <color theme="1"/>
        <rFont val="ＭＳ Ｐゴシック"/>
        <family val="3"/>
        <charset val="128"/>
        <scheme val="minor"/>
      </rPr>
      <t>注文</t>
    </r>
    <r>
      <rPr>
        <sz val="16"/>
        <color theme="1"/>
        <rFont val="ＭＳ Ｐゴシック"/>
        <family val="3"/>
        <charset val="128"/>
        <scheme val="minor"/>
      </rPr>
      <t>をお願い致します。</t>
    </r>
    <rPh sb="0" eb="2">
      <t>カキ</t>
    </rPh>
    <rPh sb="3" eb="5">
      <t>ショウヒン</t>
    </rPh>
    <rPh sb="6" eb="8">
      <t>チュウモン</t>
    </rPh>
    <rPh sb="10" eb="11">
      <t>ネガ</t>
    </rPh>
    <rPh sb="12" eb="13">
      <t>イタ</t>
    </rPh>
    <phoneticPr fontId="1"/>
  </si>
  <si>
    <t>米　（無洗米米）　5kg/pc</t>
    <rPh sb="0" eb="1">
      <t>コメ</t>
    </rPh>
    <rPh sb="3" eb="6">
      <t>ムセンマイ</t>
    </rPh>
    <rPh sb="6" eb="7">
      <t>マイ</t>
    </rPh>
    <phoneticPr fontId="1"/>
  </si>
  <si>
    <t>米　（あきたこまち） 5kg/pc</t>
    <rPh sb="0" eb="1">
      <t>コメ</t>
    </rPh>
    <phoneticPr fontId="1"/>
  </si>
  <si>
    <t>200(300)</t>
    <phoneticPr fontId="1"/>
  </si>
  <si>
    <t>30(60)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</si>
</sst>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 (&quot;aaa&quot;)&quot;"/>
    <numFmt numFmtId="177" formatCode="0.0"/>
    <numFmt numFmtId="178" formatCode="#,##0.0;[Red]\-#,##0.0"/>
  </numFmts>
  <fonts count="6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2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name val="ＭＳ Ｐゴシック"/>
      <family val="2"/>
      <charset val="128"/>
      <scheme val="minor"/>
    </font>
    <font>
      <b/>
      <sz val="11"/>
      <color theme="1"/>
      <name val="HGPｺﾞｼｯｸM"/>
      <family val="3"/>
      <charset val="128"/>
    </font>
    <font>
      <b/>
      <sz val="14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0"/>
      <name val="ＭＳ Ｐゴシック"/>
      <family val="3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20"/>
      <name val="ＭＳ Ｐゴシック"/>
      <family val="2"/>
      <charset val="128"/>
      <scheme val="minor"/>
    </font>
    <font>
      <sz val="22"/>
      <color theme="1"/>
      <name val="ＭＳ Ｐゴシック"/>
      <family val="2"/>
      <charset val="128"/>
      <scheme val="minor"/>
    </font>
    <font>
      <sz val="18"/>
      <name val="ＭＳ Ｐゴシック"/>
      <family val="2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2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sz val="18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4"/>
      <color rgb="FFFF0000"/>
      <name val="ＭＳ Ｐゴシック"/>
      <family val="2"/>
      <charset val="128"/>
      <scheme val="minor"/>
    </font>
    <font>
      <u val="double"/>
      <sz val="24"/>
      <color theme="1"/>
      <name val="ＭＳ Ｐゴシック"/>
      <family val="3"/>
      <charset val="128"/>
      <scheme val="minor"/>
    </font>
    <font>
      <b/>
      <u val="double"/>
      <sz val="26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28"/>
      <color theme="0"/>
      <name val="ＭＳ Ｐゴシック"/>
      <family val="2"/>
      <charset val="128"/>
      <scheme val="minor"/>
    </font>
    <font>
      <sz val="24"/>
      <color theme="0"/>
      <name val="ＭＳ Ｐゴシック"/>
      <family val="2"/>
      <charset val="128"/>
      <scheme val="minor"/>
    </font>
    <font>
      <b/>
      <u val="double"/>
      <sz val="26"/>
      <color theme="1"/>
      <name val="ＭＳ Ｐゴシック"/>
      <family val="3"/>
      <charset val="128"/>
      <scheme val="minor"/>
    </font>
    <font>
      <b/>
      <sz val="10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b/>
      <sz val="8"/>
      <color theme="1"/>
      <name val="ＭＳ Ｐゴシック"/>
      <family val="3"/>
      <charset val="128"/>
      <scheme val="minor"/>
    </font>
    <font>
      <b/>
      <sz val="11"/>
      <color rgb="FFFFC000"/>
      <name val="ＭＳ Ｐゴシック"/>
      <family val="3"/>
      <charset val="128"/>
      <scheme val="minor"/>
    </font>
    <font>
      <sz val="24"/>
      <name val="ＭＳ Ｐゴシック"/>
      <family val="2"/>
      <charset val="128"/>
      <scheme val="minor"/>
    </font>
    <font>
      <sz val="24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i/>
      <sz val="12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9" fillId="0" borderId="0" applyFont="0" applyFill="0" applyBorder="0" applyAlignment="0" applyProtection="0">
      <alignment vertical="center"/>
    </xf>
  </cellStyleXfs>
  <cellXfs count="24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3" borderId="1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vertical="center" shrinkToFit="1"/>
    </xf>
    <xf numFmtId="0" fontId="6" fillId="2" borderId="2" xfId="0" applyFont="1" applyFill="1" applyBorder="1" applyAlignment="1">
      <alignment vertical="center" shrinkToFit="1"/>
    </xf>
    <xf numFmtId="0" fontId="6" fillId="0" borderId="0" xfId="0" applyFont="1" applyAlignment="1" applyProtection="1">
      <alignment vertical="center" shrinkToFit="1"/>
      <protection locked="0"/>
    </xf>
    <xf numFmtId="0" fontId="10" fillId="0" borderId="0" xfId="0" applyFont="1" applyProtection="1">
      <alignment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4" borderId="0" xfId="0" applyFill="1" applyProtection="1">
      <alignment vertical="center"/>
      <protection locked="0"/>
    </xf>
    <xf numFmtId="0" fontId="5" fillId="4" borderId="0" xfId="0" applyFont="1" applyFill="1" applyProtection="1">
      <alignment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vertical="center" shrinkToFit="1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Protection="1">
      <alignment vertical="center"/>
      <protection locked="0"/>
    </xf>
    <xf numFmtId="0" fontId="16" fillId="4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vertical="center" shrinkToFit="1"/>
      <protection locked="0"/>
    </xf>
    <xf numFmtId="0" fontId="16" fillId="4" borderId="0" xfId="0" applyFont="1" applyFill="1" applyProtection="1">
      <alignment vertical="center"/>
      <protection locked="0"/>
    </xf>
    <xf numFmtId="0" fontId="11" fillId="4" borderId="0" xfId="0" applyFont="1" applyFill="1" applyAlignment="1" applyProtection="1">
      <alignment vertical="center" shrinkToFit="1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Protection="1">
      <alignment vertical="center"/>
      <protection locked="0"/>
    </xf>
    <xf numFmtId="0" fontId="11" fillId="2" borderId="1" xfId="0" applyFont="1" applyFill="1" applyBorder="1" applyAlignment="1">
      <alignment vertical="center" shrinkToFit="1"/>
    </xf>
    <xf numFmtId="0" fontId="12" fillId="0" borderId="0" xfId="0" applyFont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49" fontId="4" fillId="0" borderId="1" xfId="0" applyNumberFormat="1" applyFont="1" applyBorder="1" applyAlignment="1" applyProtection="1">
      <alignment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3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vertical="center" shrinkToFit="1"/>
      <protection locked="0"/>
    </xf>
    <xf numFmtId="0" fontId="2" fillId="4" borderId="1" xfId="0" applyFont="1" applyFill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vertical="center" shrinkToFit="1"/>
      <protection locked="0"/>
    </xf>
    <xf numFmtId="0" fontId="12" fillId="3" borderId="1" xfId="0" applyFont="1" applyFill="1" applyBorder="1" applyAlignment="1" applyProtection="1">
      <alignment vertical="center" shrinkToFit="1"/>
      <protection locked="0"/>
    </xf>
    <xf numFmtId="0" fontId="18" fillId="3" borderId="1" xfId="0" applyFont="1" applyFill="1" applyBorder="1" applyAlignment="1" applyProtection="1">
      <alignment horizontal="center" vertical="center" shrinkToFit="1"/>
      <protection locked="0"/>
    </xf>
    <xf numFmtId="0" fontId="18" fillId="0" borderId="1" xfId="0" applyFont="1" applyBorder="1" applyAlignment="1" applyProtection="1">
      <alignment horizontal="center" vertical="center" shrinkToFit="1"/>
      <protection locked="0"/>
    </xf>
    <xf numFmtId="0" fontId="0" fillId="4" borderId="7" xfId="0" applyFill="1" applyBorder="1">
      <alignment vertical="center"/>
    </xf>
    <xf numFmtId="0" fontId="0" fillId="4" borderId="6" xfId="0" applyFill="1" applyBorder="1">
      <alignment vertical="center"/>
    </xf>
    <xf numFmtId="0" fontId="0" fillId="0" borderId="0" xfId="0" applyAlignment="1" applyProtection="1">
      <alignment horizontal="center" vertical="center"/>
      <protection locked="0"/>
    </xf>
    <xf numFmtId="38" fontId="0" fillId="0" borderId="0" xfId="1" applyFont="1" applyProtection="1">
      <alignment vertical="center"/>
      <protection locked="0"/>
    </xf>
    <xf numFmtId="0" fontId="0" fillId="5" borderId="1" xfId="0" applyFill="1" applyBorder="1" applyAlignment="1" applyProtection="1">
      <alignment vertical="center" shrinkToFit="1"/>
      <protection locked="0"/>
    </xf>
    <xf numFmtId="0" fontId="12" fillId="5" borderId="1" xfId="0" applyFont="1" applyFill="1" applyBorder="1" applyAlignment="1" applyProtection="1">
      <alignment vertical="center" shrinkToFit="1"/>
      <protection locked="0"/>
    </xf>
    <xf numFmtId="0" fontId="18" fillId="5" borderId="1" xfId="0" applyFont="1" applyFill="1" applyBorder="1" applyAlignment="1" applyProtection="1">
      <alignment horizontal="center" vertical="center" shrinkToFit="1"/>
      <protection locked="0"/>
    </xf>
    <xf numFmtId="0" fontId="2" fillId="5" borderId="1" xfId="0" applyFont="1" applyFill="1" applyBorder="1" applyAlignment="1" applyProtection="1">
      <alignment horizontal="center" vertical="center" shrinkToFit="1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vertical="center" shrinkToFit="1"/>
      <protection locked="0"/>
    </xf>
    <xf numFmtId="0" fontId="9" fillId="0" borderId="1" xfId="0" applyFont="1" applyBorder="1" applyAlignment="1" applyProtection="1">
      <alignment vertical="center" shrinkToFit="1"/>
      <protection locked="0"/>
    </xf>
    <xf numFmtId="0" fontId="12" fillId="0" borderId="1" xfId="0" applyFont="1" applyBorder="1" applyAlignment="1" applyProtection="1">
      <alignment vertical="center" shrinkToFit="1"/>
      <protection locked="0"/>
    </xf>
    <xf numFmtId="0" fontId="0" fillId="3" borderId="0" xfId="0" applyFill="1" applyProtection="1">
      <alignment vertical="center"/>
      <protection locked="0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vertical="center" shrinkToFit="1"/>
      <protection locked="0"/>
    </xf>
    <xf numFmtId="0" fontId="6" fillId="4" borderId="13" xfId="0" applyFont="1" applyFill="1" applyBorder="1" applyAlignment="1" applyProtection="1">
      <alignment vertical="center" shrinkToFit="1"/>
      <protection locked="0"/>
    </xf>
    <xf numFmtId="0" fontId="6" fillId="0" borderId="13" xfId="0" applyFont="1" applyBorder="1" applyAlignment="1">
      <alignment vertical="center" shrinkToFit="1"/>
    </xf>
    <xf numFmtId="0" fontId="8" fillId="4" borderId="13" xfId="0" applyFont="1" applyFill="1" applyBorder="1" applyAlignment="1" applyProtection="1">
      <alignment vertical="center" shrinkToFit="1"/>
      <protection locked="0"/>
    </xf>
    <xf numFmtId="0" fontId="12" fillId="0" borderId="2" xfId="0" applyFont="1" applyBorder="1" applyAlignment="1" applyProtection="1">
      <alignment vertical="center" shrinkToFit="1"/>
      <protection locked="0"/>
    </xf>
    <xf numFmtId="0" fontId="6" fillId="0" borderId="10" xfId="0" applyFont="1" applyBorder="1" applyAlignment="1" applyProtection="1">
      <alignment vertical="center" shrinkToFit="1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12" fillId="0" borderId="2" xfId="0" applyFont="1" applyBorder="1" applyProtection="1">
      <alignment vertical="center"/>
      <protection locked="0"/>
    </xf>
    <xf numFmtId="0" fontId="6" fillId="2" borderId="8" xfId="0" applyFont="1" applyFill="1" applyBorder="1" applyAlignment="1">
      <alignment vertical="center" shrinkToFit="1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27" fillId="0" borderId="2" xfId="0" applyFont="1" applyBorder="1">
      <alignment vertical="center"/>
    </xf>
    <xf numFmtId="0" fontId="0" fillId="0" borderId="9" xfId="0" applyBorder="1">
      <alignment vertical="center"/>
    </xf>
    <xf numFmtId="0" fontId="0" fillId="0" borderId="8" xfId="0" applyBorder="1">
      <alignment vertical="center"/>
    </xf>
    <xf numFmtId="0" fontId="28" fillId="0" borderId="0" xfId="0" applyFont="1">
      <alignment vertical="center"/>
    </xf>
    <xf numFmtId="0" fontId="0" fillId="0" borderId="15" xfId="0" applyBorder="1">
      <alignment vertical="center"/>
    </xf>
    <xf numFmtId="0" fontId="29" fillId="0" borderId="0" xfId="0" applyFont="1">
      <alignment vertical="center"/>
    </xf>
    <xf numFmtId="0" fontId="20" fillId="0" borderId="12" xfId="0" applyFont="1" applyBorder="1" applyAlignment="1" applyProtection="1">
      <alignment vertical="center" wrapText="1"/>
      <protection locked="0"/>
    </xf>
    <xf numFmtId="0" fontId="27" fillId="0" borderId="16" xfId="0" applyFont="1" applyBorder="1">
      <alignment vertical="center"/>
    </xf>
    <xf numFmtId="0" fontId="0" fillId="0" borderId="16" xfId="0" applyBorder="1">
      <alignment vertical="center"/>
    </xf>
    <xf numFmtId="0" fontId="21" fillId="0" borderId="16" xfId="0" applyFont="1" applyBorder="1">
      <alignment vertical="center"/>
    </xf>
    <xf numFmtId="0" fontId="30" fillId="0" borderId="0" xfId="0" applyFont="1">
      <alignment vertical="center"/>
    </xf>
    <xf numFmtId="0" fontId="20" fillId="0" borderId="1" xfId="0" applyFont="1" applyBorder="1" applyAlignment="1" applyProtection="1">
      <alignment vertical="center" wrapText="1"/>
      <protection locked="0"/>
    </xf>
    <xf numFmtId="0" fontId="27" fillId="0" borderId="9" xfId="0" applyFont="1" applyBorder="1">
      <alignment vertical="center"/>
    </xf>
    <xf numFmtId="0" fontId="31" fillId="0" borderId="0" xfId="0" applyFont="1">
      <alignment vertical="center"/>
    </xf>
    <xf numFmtId="0" fontId="27" fillId="0" borderId="8" xfId="0" applyFont="1" applyBorder="1">
      <alignment vertical="center"/>
    </xf>
    <xf numFmtId="0" fontId="32" fillId="0" borderId="0" xfId="0" applyFont="1">
      <alignment vertical="center"/>
    </xf>
    <xf numFmtId="0" fontId="30" fillId="0" borderId="2" xfId="0" applyFont="1" applyBorder="1">
      <alignment vertical="center"/>
    </xf>
    <xf numFmtId="0" fontId="33" fillId="0" borderId="0" xfId="0" applyFont="1">
      <alignment vertical="center"/>
    </xf>
    <xf numFmtId="0" fontId="27" fillId="0" borderId="0" xfId="0" applyFont="1">
      <alignment vertical="center"/>
    </xf>
    <xf numFmtId="0" fontId="5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176" fontId="21" fillId="0" borderId="0" xfId="0" applyNumberFormat="1" applyFont="1" applyAlignment="1">
      <alignment horizontal="center" vertical="center"/>
    </xf>
    <xf numFmtId="0" fontId="36" fillId="0" borderId="9" xfId="0" applyFont="1" applyBorder="1">
      <alignment vertical="center"/>
    </xf>
    <xf numFmtId="0" fontId="36" fillId="0" borderId="0" xfId="0" applyFont="1">
      <alignment vertical="center"/>
    </xf>
    <xf numFmtId="0" fontId="37" fillId="0" borderId="9" xfId="0" applyFont="1" applyBorder="1">
      <alignment vertical="center"/>
    </xf>
    <xf numFmtId="49" fontId="3" fillId="0" borderId="1" xfId="0" applyNumberFormat="1" applyFont="1" applyBorder="1" applyAlignment="1" applyProtection="1">
      <alignment vertical="center" shrinkToFit="1"/>
      <protection locked="0"/>
    </xf>
    <xf numFmtId="49" fontId="7" fillId="0" borderId="1" xfId="0" applyNumberFormat="1" applyFont="1" applyBorder="1" applyAlignment="1" applyProtection="1">
      <alignment horizontal="center" vertical="center" shrinkToFit="1"/>
      <protection locked="0"/>
    </xf>
    <xf numFmtId="49" fontId="4" fillId="0" borderId="1" xfId="0" applyNumberFormat="1" applyFont="1" applyBorder="1" applyAlignment="1" applyProtection="1">
      <alignment horizontal="center" vertical="center" shrinkToFit="1"/>
      <protection locked="0"/>
    </xf>
    <xf numFmtId="49" fontId="4" fillId="4" borderId="1" xfId="0" applyNumberFormat="1" applyFont="1" applyFill="1" applyBorder="1" applyAlignment="1" applyProtection="1">
      <alignment vertical="center" shrinkToFit="1"/>
      <protection locked="0"/>
    </xf>
    <xf numFmtId="0" fontId="35" fillId="0" borderId="1" xfId="0" applyFont="1" applyBorder="1" applyAlignment="1" applyProtection="1">
      <alignment horizontal="center" vertical="center" shrinkToFit="1"/>
      <protection locked="0"/>
    </xf>
    <xf numFmtId="0" fontId="35" fillId="3" borderId="1" xfId="0" applyFont="1" applyFill="1" applyBorder="1" applyAlignment="1" applyProtection="1">
      <alignment horizontal="center" vertical="center" shrinkToFit="1"/>
      <protection locked="0"/>
    </xf>
    <xf numFmtId="0" fontId="35" fillId="3" borderId="1" xfId="0" applyFont="1" applyFill="1" applyBorder="1" applyAlignment="1" applyProtection="1">
      <alignment horizontal="center" vertical="center"/>
      <protection locked="0"/>
    </xf>
    <xf numFmtId="0" fontId="39" fillId="5" borderId="1" xfId="0" applyFont="1" applyFill="1" applyBorder="1" applyAlignment="1" applyProtection="1">
      <alignment horizontal="center" vertical="center" shrinkToFit="1"/>
      <protection locked="0"/>
    </xf>
    <xf numFmtId="0" fontId="35" fillId="5" borderId="1" xfId="0" applyFont="1" applyFill="1" applyBorder="1" applyAlignment="1" applyProtection="1">
      <alignment horizontal="center" vertical="center" shrinkToFit="1"/>
      <protection locked="0"/>
    </xf>
    <xf numFmtId="0" fontId="35" fillId="0" borderId="1" xfId="0" applyFont="1" applyBorder="1" applyAlignment="1" applyProtection="1">
      <alignment horizontal="center" vertical="center"/>
      <protection locked="0"/>
    </xf>
    <xf numFmtId="0" fontId="35" fillId="4" borderId="1" xfId="0" applyFont="1" applyFill="1" applyBorder="1" applyAlignment="1" applyProtection="1">
      <alignment horizontal="center" vertical="center" shrinkToFit="1"/>
      <protection locked="0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39" fillId="3" borderId="1" xfId="0" applyFont="1" applyFill="1" applyBorder="1" applyAlignment="1" applyProtection="1">
      <alignment horizontal="center" vertical="center" shrinkToFit="1"/>
      <protection locked="0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37" fillId="6" borderId="9" xfId="0" applyFont="1" applyFill="1" applyBorder="1" applyAlignment="1">
      <alignment horizontal="right" vertical="center"/>
    </xf>
    <xf numFmtId="0" fontId="40" fillId="7" borderId="0" xfId="0" applyFont="1" applyFill="1">
      <alignment vertical="center"/>
    </xf>
    <xf numFmtId="0" fontId="41" fillId="7" borderId="0" xfId="0" applyFont="1" applyFill="1">
      <alignment vertical="center"/>
    </xf>
    <xf numFmtId="0" fontId="42" fillId="0" borderId="18" xfId="0" applyFont="1" applyBorder="1">
      <alignment vertical="center"/>
    </xf>
    <xf numFmtId="0" fontId="37" fillId="0" borderId="0" xfId="0" applyFont="1">
      <alignment vertical="center"/>
    </xf>
    <xf numFmtId="0" fontId="27" fillId="0" borderId="0" xfId="0" applyFont="1" applyAlignment="1">
      <alignment horizontal="left" vertical="center"/>
    </xf>
    <xf numFmtId="0" fontId="37" fillId="0" borderId="0" xfId="0" applyFont="1" applyAlignment="1">
      <alignment horizontal="right" vertical="center"/>
    </xf>
    <xf numFmtId="49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47" fillId="0" borderId="9" xfId="0" applyFont="1" applyBorder="1" applyAlignment="1">
      <alignment horizontal="right" vertical="center"/>
    </xf>
    <xf numFmtId="0" fontId="48" fillId="0" borderId="2" xfId="0" applyFont="1" applyBorder="1" applyAlignment="1">
      <alignment horizontal="left" vertical="center"/>
    </xf>
    <xf numFmtId="0" fontId="46" fillId="0" borderId="9" xfId="0" applyFont="1" applyBorder="1">
      <alignment vertical="center"/>
    </xf>
    <xf numFmtId="0" fontId="48" fillId="0" borderId="8" xfId="0" applyFont="1" applyBorder="1">
      <alignment vertical="center"/>
    </xf>
    <xf numFmtId="0" fontId="5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22" xfId="0" applyBorder="1">
      <alignment vertical="center"/>
    </xf>
    <xf numFmtId="0" fontId="0" fillId="0" borderId="11" xfId="0" applyBorder="1">
      <alignment vertical="center"/>
    </xf>
    <xf numFmtId="0" fontId="0" fillId="0" borderId="23" xfId="0" applyBorder="1">
      <alignment vertical="center"/>
    </xf>
    <xf numFmtId="0" fontId="9" fillId="0" borderId="0" xfId="0" applyFont="1">
      <alignment vertical="center"/>
    </xf>
    <xf numFmtId="0" fontId="2" fillId="0" borderId="9" xfId="0" applyFont="1" applyBorder="1">
      <alignment vertical="center"/>
    </xf>
    <xf numFmtId="0" fontId="34" fillId="0" borderId="9" xfId="0" applyFont="1" applyBorder="1">
      <alignment vertical="center"/>
    </xf>
    <xf numFmtId="49" fontId="51" fillId="0" borderId="1" xfId="0" applyNumberFormat="1" applyFont="1" applyBorder="1" applyAlignment="1" applyProtection="1">
      <alignment vertical="center" shrinkToFit="1"/>
      <protection locked="0"/>
    </xf>
    <xf numFmtId="0" fontId="34" fillId="0" borderId="0" xfId="0" applyFont="1" applyAlignment="1">
      <alignment horizontal="right" vertical="center"/>
    </xf>
    <xf numFmtId="0" fontId="52" fillId="0" borderId="1" xfId="0" applyFont="1" applyBorder="1" applyAlignment="1" applyProtection="1">
      <alignment vertical="center" shrinkToFit="1"/>
      <protection locked="0"/>
    </xf>
    <xf numFmtId="0" fontId="39" fillId="0" borderId="1" xfId="0" applyFont="1" applyBorder="1" applyAlignment="1" applyProtection="1">
      <alignment horizontal="center" vertical="center" shrinkToFit="1"/>
      <protection locked="0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53" fillId="0" borderId="0" xfId="0" applyFont="1">
      <alignment vertical="center"/>
    </xf>
    <xf numFmtId="0" fontId="6" fillId="4" borderId="1" xfId="0" applyFont="1" applyFill="1" applyBorder="1" applyAlignment="1" applyProtection="1">
      <alignment vertical="center" shrinkToFit="1"/>
      <protection locked="0"/>
    </xf>
    <xf numFmtId="0" fontId="32" fillId="0" borderId="0" xfId="0" applyFont="1" applyAlignment="1">
      <alignment horizontal="center" vertical="top" wrapText="1"/>
    </xf>
    <xf numFmtId="0" fontId="32" fillId="0" borderId="0" xfId="0" applyFont="1" applyAlignment="1">
      <alignment vertical="top" wrapText="1"/>
    </xf>
    <xf numFmtId="0" fontId="28" fillId="0" borderId="9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6" fillId="0" borderId="9" xfId="0" applyFont="1" applyBorder="1" applyAlignment="1">
      <alignment horizontal="right" vertical="center"/>
    </xf>
    <xf numFmtId="0" fontId="0" fillId="2" borderId="1" xfId="0" applyFill="1" applyBorder="1" applyProtection="1">
      <alignment vertical="center"/>
      <protection locked="0"/>
    </xf>
    <xf numFmtId="0" fontId="54" fillId="0" borderId="16" xfId="0" applyFont="1" applyBorder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24" fillId="0" borderId="1" xfId="0" applyFont="1" applyBorder="1">
      <alignment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57" fillId="0" borderId="9" xfId="0" applyFont="1" applyBorder="1">
      <alignment vertical="center"/>
    </xf>
    <xf numFmtId="0" fontId="58" fillId="0" borderId="9" xfId="0" applyFont="1" applyBorder="1" applyAlignment="1">
      <alignment horizontal="right" vertical="center"/>
    </xf>
    <xf numFmtId="0" fontId="0" fillId="8" borderId="1" xfId="0" applyFill="1" applyBorder="1" applyAlignment="1" applyProtection="1">
      <alignment vertical="center" shrinkToFit="1"/>
      <protection locked="0"/>
    </xf>
    <xf numFmtId="0" fontId="35" fillId="8" borderId="1" xfId="0" applyFont="1" applyFill="1" applyBorder="1" applyAlignment="1" applyProtection="1">
      <alignment horizontal="center" vertical="center" shrinkToFit="1"/>
      <protection locked="0"/>
    </xf>
    <xf numFmtId="0" fontId="2" fillId="8" borderId="1" xfId="0" applyFont="1" applyFill="1" applyBorder="1" applyAlignment="1" applyProtection="1">
      <alignment horizontal="center" vertical="center" shrinkToFit="1"/>
      <protection locked="0"/>
    </xf>
    <xf numFmtId="0" fontId="12" fillId="8" borderId="1" xfId="0" applyFont="1" applyFill="1" applyBorder="1" applyAlignment="1" applyProtection="1">
      <alignment vertical="center" shrinkToFit="1"/>
      <protection locked="0"/>
    </xf>
    <xf numFmtId="0" fontId="35" fillId="8" borderId="1" xfId="0" applyFont="1" applyFill="1" applyBorder="1" applyAlignment="1" applyProtection="1">
      <alignment horizontal="center" vertical="center"/>
      <protection locked="0"/>
    </xf>
    <xf numFmtId="38" fontId="0" fillId="3" borderId="8" xfId="1" applyFont="1" applyFill="1" applyBorder="1" applyAlignment="1" applyProtection="1">
      <alignment vertical="center" shrinkToFit="1"/>
      <protection locked="0"/>
    </xf>
    <xf numFmtId="38" fontId="0" fillId="3" borderId="20" xfId="1" applyFont="1" applyFill="1" applyBorder="1" applyAlignment="1" applyProtection="1">
      <alignment vertical="center" shrinkToFit="1"/>
      <protection locked="0"/>
    </xf>
    <xf numFmtId="0" fontId="0" fillId="3" borderId="8" xfId="0" applyFill="1" applyBorder="1" applyAlignment="1" applyProtection="1">
      <alignment horizontal="right" vertical="center" shrinkToFit="1"/>
      <protection locked="0"/>
    </xf>
    <xf numFmtId="0" fontId="0" fillId="3" borderId="8" xfId="0" applyFill="1" applyBorder="1" applyAlignment="1" applyProtection="1">
      <alignment vertical="center" shrinkToFit="1"/>
      <protection locked="0"/>
    </xf>
    <xf numFmtId="38" fontId="0" fillId="3" borderId="8" xfId="1" applyFont="1" applyFill="1" applyBorder="1" applyAlignment="1" applyProtection="1">
      <alignment horizontal="right" vertical="center" shrinkToFit="1"/>
      <protection locked="0"/>
    </xf>
    <xf numFmtId="0" fontId="0" fillId="0" borderId="6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 applyProtection="1">
      <alignment horizontal="center" vertical="center" shrinkToFit="1"/>
      <protection locked="0"/>
    </xf>
    <xf numFmtId="0" fontId="0" fillId="0" borderId="8" xfId="0" applyBorder="1" applyAlignment="1" applyProtection="1">
      <alignment horizontal="center" vertical="center" shrinkToFit="1"/>
      <protection locked="0"/>
    </xf>
    <xf numFmtId="38" fontId="0" fillId="0" borderId="1" xfId="1" applyFont="1" applyBorder="1" applyAlignment="1" applyProtection="1">
      <alignment vertical="center" shrinkToFit="1"/>
      <protection locked="0"/>
    </xf>
    <xf numFmtId="38" fontId="0" fillId="0" borderId="11" xfId="1" applyFont="1" applyBorder="1" applyAlignment="1" applyProtection="1">
      <alignment vertical="center" shrinkToFit="1"/>
      <protection locked="0"/>
    </xf>
    <xf numFmtId="38" fontId="9" fillId="0" borderId="21" xfId="1" applyFont="1" applyBorder="1" applyAlignment="1" applyProtection="1">
      <alignment vertical="center" shrinkToFit="1"/>
      <protection locked="0"/>
    </xf>
    <xf numFmtId="38" fontId="0" fillId="0" borderId="0" xfId="1" applyFont="1" applyAlignment="1" applyProtection="1">
      <alignment vertical="center" shrinkToFit="1"/>
      <protection locked="0"/>
    </xf>
    <xf numFmtId="0" fontId="6" fillId="4" borderId="10" xfId="0" applyFont="1" applyFill="1" applyBorder="1" applyAlignment="1" applyProtection="1">
      <alignment vertical="center" shrinkToFit="1"/>
      <protection locked="0"/>
    </xf>
    <xf numFmtId="0" fontId="6" fillId="4" borderId="13" xfId="0" applyFont="1" applyFill="1" applyBorder="1" applyAlignment="1">
      <alignment vertical="center" shrinkToFit="1"/>
    </xf>
    <xf numFmtId="0" fontId="10" fillId="4" borderId="1" xfId="0" applyFont="1" applyFill="1" applyBorder="1" applyAlignment="1" applyProtection="1">
      <alignment vertical="center" shrinkToFit="1"/>
      <protection locked="0"/>
    </xf>
    <xf numFmtId="0" fontId="10" fillId="0" borderId="1" xfId="0" applyFont="1" applyBorder="1" applyAlignment="1" applyProtection="1">
      <alignment vertical="center" shrinkToFit="1"/>
      <protection locked="0"/>
    </xf>
    <xf numFmtId="3" fontId="24" fillId="0" borderId="1" xfId="0" applyNumberFormat="1" applyFont="1" applyBorder="1">
      <alignment vertical="center"/>
    </xf>
    <xf numFmtId="177" fontId="6" fillId="2" borderId="1" xfId="0" applyNumberFormat="1" applyFont="1" applyFill="1" applyBorder="1" applyAlignment="1">
      <alignment vertical="center" shrinkToFit="1"/>
    </xf>
    <xf numFmtId="178" fontId="6" fillId="2" borderId="1" xfId="1" applyNumberFormat="1" applyFont="1" applyFill="1" applyBorder="1" applyAlignment="1">
      <alignment vertical="center" shrinkToFit="1"/>
    </xf>
    <xf numFmtId="0" fontId="5" fillId="0" borderId="0" xfId="0" applyFont="1" applyAlignment="1" applyProtection="1">
      <alignment horizontal="left" vertical="center"/>
      <protection locked="0"/>
    </xf>
    <xf numFmtId="0" fontId="8" fillId="0" borderId="13" xfId="0" applyFont="1" applyBorder="1" applyAlignment="1" applyProtection="1">
      <alignment vertical="center" shrinkToFit="1"/>
      <protection locked="0"/>
    </xf>
    <xf numFmtId="0" fontId="11" fillId="4" borderId="13" xfId="0" applyFont="1" applyFill="1" applyBorder="1" applyAlignment="1" applyProtection="1">
      <alignment vertical="center" shrinkToFit="1"/>
      <protection locked="0"/>
    </xf>
    <xf numFmtId="0" fontId="11" fillId="4" borderId="10" xfId="0" applyFont="1" applyFill="1" applyBorder="1" applyAlignment="1" applyProtection="1">
      <alignment vertical="center" shrinkToFit="1"/>
      <protection locked="0"/>
    </xf>
    <xf numFmtId="0" fontId="11" fillId="4" borderId="13" xfId="0" applyFont="1" applyFill="1" applyBorder="1" applyAlignment="1">
      <alignment vertical="center" shrinkToFit="1"/>
    </xf>
    <xf numFmtId="0" fontId="61" fillId="0" borderId="16" xfId="0" applyFont="1" applyBorder="1">
      <alignment vertical="center"/>
    </xf>
    <xf numFmtId="0" fontId="62" fillId="0" borderId="0" xfId="0" applyFont="1">
      <alignment vertical="center"/>
    </xf>
    <xf numFmtId="0" fontId="6" fillId="3" borderId="13" xfId="0" applyFont="1" applyFill="1" applyBorder="1" applyAlignment="1" applyProtection="1">
      <alignment vertical="center" shrinkToFit="1"/>
      <protection locked="0"/>
    </xf>
    <xf numFmtId="0" fontId="8" fillId="4" borderId="1" xfId="0" applyFont="1" applyFill="1" applyBorder="1" applyAlignment="1" applyProtection="1">
      <alignment vertical="center" shrinkToFit="1"/>
      <protection locked="0"/>
    </xf>
    <xf numFmtId="38" fontId="0" fillId="0" borderId="8" xfId="1" applyFont="1" applyFill="1" applyBorder="1" applyAlignment="1" applyProtection="1">
      <alignment vertical="center" shrinkToFit="1"/>
      <protection locked="0"/>
    </xf>
    <xf numFmtId="0" fontId="38" fillId="0" borderId="0" xfId="0" applyFont="1">
      <alignment vertical="center"/>
    </xf>
    <xf numFmtId="0" fontId="11" fillId="4" borderId="1" xfId="0" applyFont="1" applyFill="1" applyBorder="1" applyAlignment="1" applyProtection="1">
      <alignment vertical="center" shrinkToFit="1"/>
      <protection locked="0"/>
    </xf>
    <xf numFmtId="0" fontId="6" fillId="4" borderId="10" xfId="0" applyFont="1" applyFill="1" applyBorder="1" applyAlignment="1">
      <alignment vertical="center" shrinkToFit="1"/>
    </xf>
    <xf numFmtId="0" fontId="6" fillId="4" borderId="1" xfId="0" applyFont="1" applyFill="1" applyBorder="1" applyAlignment="1">
      <alignment vertical="center" shrinkToFit="1"/>
    </xf>
    <xf numFmtId="0" fontId="63" fillId="0" borderId="2" xfId="0" applyFont="1" applyBorder="1">
      <alignment vertical="center"/>
    </xf>
    <xf numFmtId="0" fontId="27" fillId="0" borderId="27" xfId="0" applyFont="1" applyBorder="1">
      <alignment vertical="center"/>
    </xf>
    <xf numFmtId="0" fontId="6" fillId="0" borderId="2" xfId="0" applyFont="1" applyBorder="1" applyAlignment="1">
      <alignment vertical="center" shrinkToFit="1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3" xfId="0" applyFont="1" applyBorder="1" applyAlignment="1" applyProtection="1">
      <alignment vertical="center" shrinkToFit="1"/>
      <protection locked="0"/>
    </xf>
    <xf numFmtId="0" fontId="0" fillId="0" borderId="28" xfId="0" applyBorder="1">
      <alignment vertical="center"/>
    </xf>
    <xf numFmtId="56" fontId="22" fillId="0" borderId="16" xfId="0" applyNumberFormat="1" applyFont="1" applyBorder="1" applyAlignment="1">
      <alignment horizontal="center" vertical="center"/>
    </xf>
    <xf numFmtId="0" fontId="64" fillId="4" borderId="13" xfId="0" applyFont="1" applyFill="1" applyBorder="1" applyAlignment="1" applyProtection="1">
      <alignment vertical="center" shrinkToFit="1"/>
      <protection locked="0"/>
    </xf>
    <xf numFmtId="0" fontId="61" fillId="0" borderId="16" xfId="0" applyFont="1" applyBorder="1" applyAlignment="1">
      <alignment vertical="center" wrapText="1"/>
    </xf>
    <xf numFmtId="0" fontId="61" fillId="0" borderId="27" xfId="0" applyFont="1" applyBorder="1" applyAlignment="1">
      <alignment vertical="center" wrapText="1"/>
    </xf>
    <xf numFmtId="0" fontId="8" fillId="4" borderId="13" xfId="0" applyFont="1" applyFill="1" applyBorder="1" applyAlignment="1">
      <alignment vertical="center" shrinkToFit="1"/>
    </xf>
    <xf numFmtId="0" fontId="30" fillId="0" borderId="16" xfId="0" applyFont="1" applyBorder="1">
      <alignment vertical="center"/>
    </xf>
    <xf numFmtId="0" fontId="53" fillId="0" borderId="16" xfId="0" applyFont="1" applyBorder="1">
      <alignment vertical="center"/>
    </xf>
    <xf numFmtId="0" fontId="18" fillId="0" borderId="12" xfId="0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vertical="center" shrinkToFit="1"/>
      <protection locked="0"/>
    </xf>
    <xf numFmtId="0" fontId="35" fillId="2" borderId="1" xfId="0" applyFont="1" applyFill="1" applyBorder="1" applyAlignment="1" applyProtection="1">
      <alignment horizontal="center" vertical="center" shrinkToFi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 textRotation="255" shrinkToFit="1"/>
      <protection locked="0"/>
    </xf>
    <xf numFmtId="0" fontId="0" fillId="0" borderId="12" xfId="0" applyBorder="1" applyAlignment="1" applyProtection="1">
      <alignment horizontal="center" vertical="center" textRotation="255" shrinkToFit="1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9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55" fillId="0" borderId="1" xfId="0" applyFont="1" applyBorder="1" applyAlignment="1" applyProtection="1">
      <alignment horizontal="center" vertical="center" wrapText="1"/>
      <protection locked="0"/>
    </xf>
    <xf numFmtId="0" fontId="55" fillId="0" borderId="1" xfId="0" applyFont="1" applyBorder="1" applyAlignment="1" applyProtection="1">
      <alignment horizontal="center" vertical="center"/>
      <protection locked="0"/>
    </xf>
    <xf numFmtId="14" fontId="22" fillId="0" borderId="0" xfId="0" applyNumberFormat="1" applyFont="1" applyAlignment="1">
      <alignment horizontal="center" vertical="center"/>
    </xf>
    <xf numFmtId="176" fontId="21" fillId="0" borderId="14" xfId="0" applyNumberFormat="1" applyFont="1" applyBorder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76" fontId="21" fillId="0" borderId="1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176" fontId="21" fillId="0" borderId="2" xfId="0" applyNumberFormat="1" applyFont="1" applyBorder="1" applyAlignment="1">
      <alignment horizontal="center" vertical="center"/>
    </xf>
    <xf numFmtId="176" fontId="21" fillId="0" borderId="8" xfId="0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6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9B081BC-C911-4181-9DFB-29719BF4AD55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26A5D85-A286-4BCA-B5FE-8EF60FFBE7B1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A6FE967-853B-48E5-8EA1-8EBE4FC45EF4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4651CC0-9452-413F-83CB-6883E6F7ADF2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00AE7FD-8A6E-411E-97EB-7FDD3E5C3F87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49F216B-CBF4-4C9E-8A67-EC10EBA78025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2AEEDA3-81D2-48E2-8DFE-48C59787B33E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BC532B-0702-486E-94FF-64BC20BBE63B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132A308-7C0D-4FC3-8F8F-B2A7AF78FF81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2DCFD82-6D17-457D-AB7F-F3E3CD44E10B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20EAC27-7461-407B-9527-521A0DF87A17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6C3874B-39A5-4138-BCB5-D817A746EB90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071C1B-0280-4650-B90C-8A6F3D42A6AD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348BECF-5D7A-4502-ACE0-39345643CC8D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B967F9F-6CFA-413D-829E-50613FF51198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D3F52A1-F93C-49C4-99D6-496AA16C58DC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C7F9E76-07F1-47D9-A12A-BEECDD23C8A0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ACC71B98-2A33-443D-8ADE-04B1BD81B031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4706B07-B16B-4D42-94B7-08A8D847FEEF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F8E33E-53DF-4E07-B306-286A42667CA2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5725ACF-06B0-408C-BF4A-94E3626439AD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8C055AC-03C0-4286-BDB4-C3474A86C82A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D4B7159-DDE2-455E-98EC-818FBF726186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3FEA624-EABA-4541-BE4F-9154ED855796}"/>
            </a:ext>
          </a:extLst>
        </xdr:cNvPr>
        <xdr:cNvSpPr/>
      </xdr:nvSpPr>
      <xdr:spPr>
        <a:xfrm>
          <a:off x="2077402" y="230506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40A16FAA-BA27-4897-8AC1-A3CADA817AFE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  <xdr:twoCellAnchor>
    <xdr:from>
      <xdr:col>3</xdr:col>
      <xdr:colOff>119062</xdr:colOff>
      <xdr:row>1</xdr:row>
      <xdr:rowOff>47626</xdr:rowOff>
    </xdr:from>
    <xdr:to>
      <xdr:col>3</xdr:col>
      <xdr:colOff>601265</xdr:colOff>
      <xdr:row>1</xdr:row>
      <xdr:rowOff>142876</xdr:rowOff>
    </xdr:to>
    <xdr:sp macro="[0]!sheetCop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68210D0A-4A42-4F82-BE39-D29978488D46}"/>
            </a:ext>
          </a:extLst>
        </xdr:cNvPr>
        <xdr:cNvSpPr/>
      </xdr:nvSpPr>
      <xdr:spPr>
        <a:xfrm>
          <a:off x="2300287" y="228601"/>
          <a:ext cx="482203" cy="95250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実行</a:t>
          </a:r>
          <a:endParaRPr kumimoji="1" lang="ja-JP" altLang="en-US" sz="7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6</xdr:row>
      <xdr:rowOff>409575</xdr:rowOff>
    </xdr:from>
    <xdr:to>
      <xdr:col>7</xdr:col>
      <xdr:colOff>352425</xdr:colOff>
      <xdr:row>8</xdr:row>
      <xdr:rowOff>219075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CxnSpPr/>
      </xdr:nvCxnSpPr>
      <xdr:spPr>
        <a:xfrm>
          <a:off x="5105400" y="1800225"/>
          <a:ext cx="590550" cy="45720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13</xdr:row>
      <xdr:rowOff>257175</xdr:rowOff>
    </xdr:from>
    <xdr:to>
      <xdr:col>7</xdr:col>
      <xdr:colOff>666750</xdr:colOff>
      <xdr:row>15</xdr:row>
      <xdr:rowOff>257175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267450" y="3771900"/>
          <a:ext cx="428625" cy="695325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266700</xdr:colOff>
      <xdr:row>11</xdr:row>
      <xdr:rowOff>266700</xdr:rowOff>
    </xdr:from>
    <xdr:to>
      <xdr:col>7</xdr:col>
      <xdr:colOff>581025</xdr:colOff>
      <xdr:row>11</xdr:row>
      <xdr:rowOff>266700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>
          <a:off x="6296025" y="3086100"/>
          <a:ext cx="3143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17</xdr:row>
      <xdr:rowOff>295276</xdr:rowOff>
    </xdr:from>
    <xdr:to>
      <xdr:col>7</xdr:col>
      <xdr:colOff>628650</xdr:colOff>
      <xdr:row>21</xdr:row>
      <xdr:rowOff>285750</xdr:rowOff>
    </xdr:to>
    <xdr:sp macro="" textlink="">
      <xdr:nvSpPr>
        <xdr:cNvPr id="6" name="右中かっこ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6229350" y="5200651"/>
          <a:ext cx="428625" cy="1381124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266700</xdr:colOff>
      <xdr:row>25</xdr:row>
      <xdr:rowOff>266700</xdr:rowOff>
    </xdr:from>
    <xdr:to>
      <xdr:col>7</xdr:col>
      <xdr:colOff>581025</xdr:colOff>
      <xdr:row>25</xdr:row>
      <xdr:rowOff>266700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>
        <a:xfrm>
          <a:off x="6581775" y="7743825"/>
          <a:ext cx="3143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266700</xdr:colOff>
      <xdr:row>23</xdr:row>
      <xdr:rowOff>266700</xdr:rowOff>
    </xdr:from>
    <xdr:to>
      <xdr:col>7</xdr:col>
      <xdr:colOff>581025</xdr:colOff>
      <xdr:row>23</xdr:row>
      <xdr:rowOff>266700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4F34BCF3-56FB-405E-BEA2-46236E8ADC50}"/>
            </a:ext>
          </a:extLst>
        </xdr:cNvPr>
        <xdr:cNvCxnSpPr/>
      </xdr:nvCxnSpPr>
      <xdr:spPr>
        <a:xfrm>
          <a:off x="6581775" y="3028950"/>
          <a:ext cx="3143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342900</xdr:colOff>
      <xdr:row>13</xdr:row>
      <xdr:rowOff>447675</xdr:rowOff>
    </xdr:from>
    <xdr:to>
      <xdr:col>15</xdr:col>
      <xdr:colOff>361950</xdr:colOff>
      <xdr:row>16</xdr:row>
      <xdr:rowOff>47625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F81CBEB1-D6A6-D416-40A0-74581E10CC08}"/>
            </a:ext>
          </a:extLst>
        </xdr:cNvPr>
        <xdr:cNvCxnSpPr/>
      </xdr:nvCxnSpPr>
      <xdr:spPr>
        <a:xfrm flipH="1">
          <a:off x="12144375" y="3848100"/>
          <a:ext cx="19050" cy="7620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371475</xdr:colOff>
      <xdr:row>15</xdr:row>
      <xdr:rowOff>323850</xdr:rowOff>
    </xdr:from>
    <xdr:to>
      <xdr:col>17</xdr:col>
      <xdr:colOff>381000</xdr:colOff>
      <xdr:row>16</xdr:row>
      <xdr:rowOff>38100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46E24BF5-E280-11FF-6E6C-5D3548F52F4B}"/>
            </a:ext>
          </a:extLst>
        </xdr:cNvPr>
        <xdr:cNvCxnSpPr/>
      </xdr:nvCxnSpPr>
      <xdr:spPr>
        <a:xfrm flipH="1">
          <a:off x="13544550" y="4362450"/>
          <a:ext cx="9525" cy="2381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381000</xdr:colOff>
      <xdr:row>15</xdr:row>
      <xdr:rowOff>304800</xdr:rowOff>
    </xdr:from>
    <xdr:to>
      <xdr:col>18</xdr:col>
      <xdr:colOff>381000</xdr:colOff>
      <xdr:row>16</xdr:row>
      <xdr:rowOff>38100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4163425E-6E84-4CBB-A769-7E239387951B}"/>
            </a:ext>
          </a:extLst>
        </xdr:cNvPr>
        <xdr:cNvCxnSpPr/>
      </xdr:nvCxnSpPr>
      <xdr:spPr>
        <a:xfrm>
          <a:off x="14239875" y="4343400"/>
          <a:ext cx="0" cy="257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23</xdr:row>
      <xdr:rowOff>266700</xdr:rowOff>
    </xdr:from>
    <xdr:to>
      <xdr:col>7</xdr:col>
      <xdr:colOff>581025</xdr:colOff>
      <xdr:row>23</xdr:row>
      <xdr:rowOff>266700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7A182710-D338-46D4-9C5B-F7DF9DAEBAB1}"/>
            </a:ext>
          </a:extLst>
        </xdr:cNvPr>
        <xdr:cNvCxnSpPr/>
      </xdr:nvCxnSpPr>
      <xdr:spPr>
        <a:xfrm>
          <a:off x="6581775" y="7267575"/>
          <a:ext cx="314325" cy="0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5D4AD-E6AB-419F-9D1B-7DACCE99F2B6}">
  <sheetPr codeName="Sheet48">
    <tabColor rgb="FF00B0F0"/>
    <pageSetUpPr fitToPage="1"/>
  </sheetPr>
  <dimension ref="A1:DE134"/>
  <sheetViews>
    <sheetView zoomScale="160" zoomScaleNormal="160" workbookViewId="0">
      <pane xSplit="5" ySplit="4" topLeftCell="F89" activePane="bottomRight" state="frozen"/>
      <selection pane="topRight" activeCell="F1" sqref="F1"/>
      <selection pane="bottomLeft" activeCell="A5" sqref="A5"/>
      <selection pane="bottomRight" activeCell="V5" sqref="V5:W94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8</v>
      </c>
      <c r="D1" s="57">
        <v>1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/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5</v>
      </c>
      <c r="E6" s="34" t="s">
        <v>26</v>
      </c>
      <c r="F6" s="14">
        <v>4</v>
      </c>
      <c r="G6" s="62"/>
      <c r="H6" s="143"/>
      <c r="I6" s="13">
        <f t="shared" si="0"/>
        <v>4</v>
      </c>
      <c r="J6" s="62"/>
      <c r="K6" s="143"/>
      <c r="L6" s="13">
        <f t="shared" si="1"/>
        <v>4</v>
      </c>
      <c r="M6" s="62">
        <v>20</v>
      </c>
      <c r="N6" s="143">
        <v>1</v>
      </c>
      <c r="O6" s="13">
        <f t="shared" si="2"/>
        <v>23</v>
      </c>
      <c r="P6" s="62"/>
      <c r="Q6" s="143"/>
      <c r="R6" s="13">
        <f t="shared" si="3"/>
        <v>23</v>
      </c>
      <c r="S6" s="62"/>
      <c r="T6" s="143">
        <f>3+4+3+3</f>
        <v>13</v>
      </c>
      <c r="U6" s="13">
        <f t="shared" si="4"/>
        <v>10</v>
      </c>
      <c r="V6" s="62"/>
      <c r="W6" s="143"/>
      <c r="X6" s="13">
        <f t="shared" si="5"/>
        <v>10</v>
      </c>
      <c r="Y6" s="62"/>
      <c r="Z6" s="143"/>
      <c r="AA6" s="13">
        <f t="shared" ref="AA6:AA68" si="27">X6+Y6-Z6</f>
        <v>10</v>
      </c>
      <c r="AB6" s="62"/>
      <c r="AC6" s="143"/>
      <c r="AD6" s="13">
        <f t="shared" ref="AD6:AD68" si="28">AA6+AB6-AC6</f>
        <v>10</v>
      </c>
      <c r="AE6" s="62"/>
      <c r="AF6" s="143"/>
      <c r="AG6" s="13">
        <f t="shared" ref="AG6:AG68" si="29">AD6+AE6-AF6</f>
        <v>10</v>
      </c>
      <c r="AH6" s="62"/>
      <c r="AI6" s="143"/>
      <c r="AJ6" s="13">
        <f t="shared" ref="AJ6:AJ68" si="30">AG6+AH6-AI6</f>
        <v>10</v>
      </c>
      <c r="AK6" s="62"/>
      <c r="AL6" s="143"/>
      <c r="AM6" s="13">
        <f t="shared" si="6"/>
        <v>10</v>
      </c>
      <c r="AN6" s="62"/>
      <c r="AO6" s="143"/>
      <c r="AP6" s="13">
        <f t="shared" si="7"/>
        <v>10</v>
      </c>
      <c r="AQ6" s="62"/>
      <c r="AR6" s="143"/>
      <c r="AS6" s="13">
        <f t="shared" si="8"/>
        <v>10</v>
      </c>
      <c r="AT6" s="62"/>
      <c r="AU6" s="143"/>
      <c r="AV6" s="13">
        <f t="shared" si="9"/>
        <v>10</v>
      </c>
      <c r="AW6" s="62"/>
      <c r="AX6" s="143"/>
      <c r="AY6" s="13">
        <f t="shared" si="10"/>
        <v>10</v>
      </c>
      <c r="AZ6" s="62"/>
      <c r="BA6" s="143"/>
      <c r="BB6" s="13">
        <f t="shared" si="11"/>
        <v>10</v>
      </c>
      <c r="BC6" s="62"/>
      <c r="BD6" s="143"/>
      <c r="BE6" s="13">
        <f t="shared" si="12"/>
        <v>10</v>
      </c>
      <c r="BF6" s="62"/>
      <c r="BG6" s="143"/>
      <c r="BH6" s="13">
        <f t="shared" si="13"/>
        <v>10</v>
      </c>
      <c r="BI6" s="62"/>
      <c r="BJ6" s="143"/>
      <c r="BK6" s="13">
        <f t="shared" si="14"/>
        <v>10</v>
      </c>
      <c r="BL6" s="62"/>
      <c r="BM6" s="143"/>
      <c r="BN6" s="13">
        <f t="shared" si="15"/>
        <v>10</v>
      </c>
      <c r="BO6" s="62"/>
      <c r="BP6" s="143"/>
      <c r="BQ6" s="13">
        <f t="shared" si="16"/>
        <v>10</v>
      </c>
      <c r="BR6" s="62"/>
      <c r="BS6" s="143"/>
      <c r="BT6" s="13">
        <f t="shared" si="17"/>
        <v>10</v>
      </c>
      <c r="BU6" s="62"/>
      <c r="BV6" s="143"/>
      <c r="BW6" s="13">
        <f t="shared" si="18"/>
        <v>10</v>
      </c>
      <c r="BX6" s="62"/>
      <c r="BY6" s="143"/>
      <c r="BZ6" s="13">
        <f t="shared" si="19"/>
        <v>10</v>
      </c>
      <c r="CA6" s="62"/>
      <c r="CB6" s="143"/>
      <c r="CC6" s="13">
        <f t="shared" si="20"/>
        <v>10</v>
      </c>
      <c r="CD6" s="62"/>
      <c r="CE6" s="143"/>
      <c r="CF6" s="13">
        <f t="shared" si="21"/>
        <v>10</v>
      </c>
      <c r="CG6" s="62"/>
      <c r="CH6" s="143"/>
      <c r="CI6" s="13">
        <f t="shared" ref="CI6:CI69" si="31">CF6+CG6-CH6</f>
        <v>10</v>
      </c>
      <c r="CJ6" s="62"/>
      <c r="CK6" s="143"/>
      <c r="CL6" s="13">
        <f t="shared" ref="CL6:CL69" si="32">CI6+CJ6-CK6</f>
        <v>10</v>
      </c>
      <c r="CM6" s="62"/>
      <c r="CN6" s="143"/>
      <c r="CO6" s="13">
        <f t="shared" si="22"/>
        <v>10</v>
      </c>
      <c r="CP6" s="62"/>
      <c r="CQ6" s="143"/>
      <c r="CR6" s="13">
        <f t="shared" ref="CR6:CR69" si="33">CO6+CP6-CQ6</f>
        <v>10</v>
      </c>
      <c r="CS6" s="62"/>
      <c r="CT6" s="143"/>
      <c r="CU6" s="14">
        <f t="shared" si="23"/>
        <v>10</v>
      </c>
      <c r="CV6" s="5">
        <f t="shared" si="24"/>
        <v>20</v>
      </c>
      <c r="CW6" s="4">
        <f t="shared" si="24"/>
        <v>14</v>
      </c>
      <c r="CX6" s="6">
        <f t="shared" si="25"/>
        <v>10</v>
      </c>
      <c r="CY6" s="162">
        <v>210</v>
      </c>
      <c r="CZ6" s="171">
        <f t="shared" si="26"/>
        <v>2100</v>
      </c>
      <c r="DB6" s="2">
        <f t="shared" ref="DB6:DB69" si="34">CU6</f>
        <v>10</v>
      </c>
      <c r="DC6" s="61"/>
      <c r="DD6" s="143"/>
      <c r="DE6" s="149">
        <f t="shared" ref="DE6:DE70" si="35">DC6+DB6-DD6</f>
        <v>10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>
        <v>20</v>
      </c>
      <c r="E8" s="35" t="s">
        <v>26</v>
      </c>
      <c r="F8" s="14">
        <v>16</v>
      </c>
      <c r="G8" s="62"/>
      <c r="H8" s="143"/>
      <c r="I8" s="13">
        <f t="shared" si="0"/>
        <v>16</v>
      </c>
      <c r="J8" s="62"/>
      <c r="K8" s="143"/>
      <c r="L8" s="13">
        <f t="shared" si="1"/>
        <v>16</v>
      </c>
      <c r="M8" s="62"/>
      <c r="N8" s="143">
        <v>16</v>
      </c>
      <c r="O8" s="13">
        <f t="shared" si="2"/>
        <v>0</v>
      </c>
      <c r="P8" s="62"/>
      <c r="Q8" s="143"/>
      <c r="R8" s="13">
        <f t="shared" si="3"/>
        <v>0</v>
      </c>
      <c r="S8" s="62"/>
      <c r="T8" s="143"/>
      <c r="U8" s="13">
        <f t="shared" si="4"/>
        <v>0</v>
      </c>
      <c r="V8" s="62"/>
      <c r="W8" s="143"/>
      <c r="X8" s="13">
        <f t="shared" si="5"/>
        <v>0</v>
      </c>
      <c r="Y8" s="62"/>
      <c r="Z8" s="143"/>
      <c r="AA8" s="13">
        <f t="shared" si="27"/>
        <v>0</v>
      </c>
      <c r="AB8" s="62"/>
      <c r="AC8" s="143"/>
      <c r="AD8" s="13">
        <f t="shared" si="28"/>
        <v>0</v>
      </c>
      <c r="AE8" s="62"/>
      <c r="AF8" s="143"/>
      <c r="AG8" s="13">
        <f t="shared" si="29"/>
        <v>0</v>
      </c>
      <c r="AH8" s="62"/>
      <c r="AI8" s="143"/>
      <c r="AJ8" s="13">
        <f t="shared" si="30"/>
        <v>0</v>
      </c>
      <c r="AK8" s="62"/>
      <c r="AL8" s="143"/>
      <c r="AM8" s="13">
        <f t="shared" si="6"/>
        <v>0</v>
      </c>
      <c r="AN8" s="62"/>
      <c r="AO8" s="143"/>
      <c r="AP8" s="13">
        <f t="shared" si="7"/>
        <v>0</v>
      </c>
      <c r="AQ8" s="62"/>
      <c r="AR8" s="143"/>
      <c r="AS8" s="13">
        <f t="shared" si="8"/>
        <v>0</v>
      </c>
      <c r="AT8" s="62"/>
      <c r="AU8" s="143"/>
      <c r="AV8" s="13">
        <f t="shared" si="9"/>
        <v>0</v>
      </c>
      <c r="AW8" s="62"/>
      <c r="AX8" s="143"/>
      <c r="AY8" s="13">
        <f t="shared" si="10"/>
        <v>0</v>
      </c>
      <c r="AZ8" s="62"/>
      <c r="BA8" s="143"/>
      <c r="BB8" s="13">
        <f t="shared" si="11"/>
        <v>0</v>
      </c>
      <c r="BC8" s="62"/>
      <c r="BD8" s="143"/>
      <c r="BE8" s="13">
        <f t="shared" si="12"/>
        <v>0</v>
      </c>
      <c r="BF8" s="62"/>
      <c r="BG8" s="143"/>
      <c r="BH8" s="13">
        <f t="shared" si="13"/>
        <v>0</v>
      </c>
      <c r="BI8" s="62"/>
      <c r="BJ8" s="143"/>
      <c r="BK8" s="13">
        <f t="shared" si="14"/>
        <v>0</v>
      </c>
      <c r="BL8" s="62"/>
      <c r="BM8" s="143"/>
      <c r="BN8" s="13">
        <f t="shared" si="15"/>
        <v>0</v>
      </c>
      <c r="BO8" s="62"/>
      <c r="BP8" s="143"/>
      <c r="BQ8" s="13">
        <f t="shared" si="16"/>
        <v>0</v>
      </c>
      <c r="BR8" s="62"/>
      <c r="BS8" s="143"/>
      <c r="BT8" s="13">
        <f t="shared" si="17"/>
        <v>0</v>
      </c>
      <c r="BU8" s="62"/>
      <c r="BV8" s="143"/>
      <c r="BW8" s="13">
        <f t="shared" si="18"/>
        <v>0</v>
      </c>
      <c r="BX8" s="62"/>
      <c r="BY8" s="143"/>
      <c r="BZ8" s="13">
        <f t="shared" si="19"/>
        <v>0</v>
      </c>
      <c r="CA8" s="62"/>
      <c r="CB8" s="143"/>
      <c r="CC8" s="13">
        <f t="shared" si="20"/>
        <v>0</v>
      </c>
      <c r="CD8" s="62"/>
      <c r="CE8" s="143"/>
      <c r="CF8" s="13">
        <f t="shared" si="21"/>
        <v>0</v>
      </c>
      <c r="CG8" s="62"/>
      <c r="CH8" s="143"/>
      <c r="CI8" s="13">
        <f t="shared" si="31"/>
        <v>0</v>
      </c>
      <c r="CJ8" s="62"/>
      <c r="CK8" s="143"/>
      <c r="CL8" s="13">
        <f t="shared" si="32"/>
        <v>0</v>
      </c>
      <c r="CM8" s="62"/>
      <c r="CN8" s="143"/>
      <c r="CO8" s="13">
        <f t="shared" si="22"/>
        <v>0</v>
      </c>
      <c r="CP8" s="62"/>
      <c r="CQ8" s="143"/>
      <c r="CR8" s="13">
        <f t="shared" si="33"/>
        <v>0</v>
      </c>
      <c r="CS8" s="62"/>
      <c r="CT8" s="143"/>
      <c r="CU8" s="14">
        <f t="shared" si="23"/>
        <v>0</v>
      </c>
      <c r="CV8" s="5">
        <f t="shared" si="24"/>
        <v>0</v>
      </c>
      <c r="CW8" s="4">
        <f t="shared" si="24"/>
        <v>16</v>
      </c>
      <c r="CX8" s="6">
        <f t="shared" si="25"/>
        <v>0</v>
      </c>
      <c r="CY8" s="162">
        <v>125</v>
      </c>
      <c r="CZ8" s="171">
        <f t="shared" si="26"/>
        <v>0</v>
      </c>
      <c r="DB8" s="2">
        <f t="shared" si="34"/>
        <v>0</v>
      </c>
      <c r="DC8" s="61"/>
      <c r="DD8" s="143"/>
      <c r="DE8" s="149">
        <f t="shared" si="35"/>
        <v>0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340</v>
      </c>
      <c r="E12" s="51" t="s">
        <v>27</v>
      </c>
      <c r="F12" s="14">
        <v>60</v>
      </c>
      <c r="G12" s="62"/>
      <c r="H12" s="143"/>
      <c r="I12" s="13">
        <f t="shared" si="0"/>
        <v>60</v>
      </c>
      <c r="J12" s="62"/>
      <c r="K12" s="143"/>
      <c r="L12" s="13">
        <f t="shared" si="1"/>
        <v>60</v>
      </c>
      <c r="M12" s="62">
        <v>40</v>
      </c>
      <c r="N12" s="143">
        <v>37</v>
      </c>
      <c r="O12" s="13">
        <f t="shared" si="2"/>
        <v>63</v>
      </c>
      <c r="P12" s="62"/>
      <c r="Q12" s="143"/>
      <c r="R12" s="13">
        <f t="shared" si="3"/>
        <v>63</v>
      </c>
      <c r="S12" s="62"/>
      <c r="T12" s="143">
        <f>4</f>
        <v>4</v>
      </c>
      <c r="U12" s="13">
        <f t="shared" si="4"/>
        <v>59</v>
      </c>
      <c r="V12" s="62"/>
      <c r="W12" s="143"/>
      <c r="X12" s="13">
        <f t="shared" si="5"/>
        <v>59</v>
      </c>
      <c r="Y12" s="62"/>
      <c r="Z12" s="143"/>
      <c r="AA12" s="13">
        <f t="shared" si="27"/>
        <v>59</v>
      </c>
      <c r="AB12" s="62"/>
      <c r="AC12" s="143"/>
      <c r="AD12" s="13">
        <f t="shared" si="28"/>
        <v>59</v>
      </c>
      <c r="AE12" s="62"/>
      <c r="AF12" s="143"/>
      <c r="AG12" s="13">
        <f t="shared" si="29"/>
        <v>59</v>
      </c>
      <c r="AH12" s="62"/>
      <c r="AI12" s="143"/>
      <c r="AJ12" s="13">
        <f t="shared" si="30"/>
        <v>59</v>
      </c>
      <c r="AK12" s="62"/>
      <c r="AL12" s="143"/>
      <c r="AM12" s="13">
        <f t="shared" si="6"/>
        <v>59</v>
      </c>
      <c r="AN12" s="62"/>
      <c r="AO12" s="143"/>
      <c r="AP12" s="13">
        <f t="shared" si="7"/>
        <v>59</v>
      </c>
      <c r="AQ12" s="62"/>
      <c r="AR12" s="143"/>
      <c r="AS12" s="13">
        <f t="shared" si="8"/>
        <v>59</v>
      </c>
      <c r="AT12" s="62"/>
      <c r="AU12" s="143"/>
      <c r="AV12" s="13">
        <f t="shared" si="9"/>
        <v>59</v>
      </c>
      <c r="AW12" s="62"/>
      <c r="AX12" s="143"/>
      <c r="AY12" s="13">
        <f t="shared" si="10"/>
        <v>59</v>
      </c>
      <c r="AZ12" s="62"/>
      <c r="BA12" s="143"/>
      <c r="BB12" s="13">
        <f t="shared" si="11"/>
        <v>59</v>
      </c>
      <c r="BC12" s="62"/>
      <c r="BD12" s="143"/>
      <c r="BE12" s="13">
        <f t="shared" si="12"/>
        <v>59</v>
      </c>
      <c r="BF12" s="62"/>
      <c r="BG12" s="143"/>
      <c r="BH12" s="13">
        <f t="shared" si="13"/>
        <v>59</v>
      </c>
      <c r="BI12" s="62"/>
      <c r="BJ12" s="143"/>
      <c r="BK12" s="13">
        <f t="shared" si="14"/>
        <v>59</v>
      </c>
      <c r="BL12" s="62"/>
      <c r="BM12" s="143"/>
      <c r="BN12" s="13">
        <f t="shared" si="15"/>
        <v>59</v>
      </c>
      <c r="BO12" s="62"/>
      <c r="BP12" s="143"/>
      <c r="BQ12" s="13">
        <f t="shared" si="16"/>
        <v>59</v>
      </c>
      <c r="BR12" s="62"/>
      <c r="BS12" s="143"/>
      <c r="BT12" s="13">
        <f t="shared" si="17"/>
        <v>59</v>
      </c>
      <c r="BU12" s="62"/>
      <c r="BV12" s="143"/>
      <c r="BW12" s="13">
        <f t="shared" si="18"/>
        <v>59</v>
      </c>
      <c r="BX12" s="62"/>
      <c r="BY12" s="143"/>
      <c r="BZ12" s="13">
        <f t="shared" si="19"/>
        <v>59</v>
      </c>
      <c r="CA12" s="62"/>
      <c r="CB12" s="143"/>
      <c r="CC12" s="13">
        <f t="shared" si="20"/>
        <v>59</v>
      </c>
      <c r="CD12" s="62"/>
      <c r="CE12" s="143"/>
      <c r="CF12" s="13">
        <f t="shared" si="21"/>
        <v>59</v>
      </c>
      <c r="CG12" s="62"/>
      <c r="CH12" s="143"/>
      <c r="CI12" s="13">
        <f t="shared" si="31"/>
        <v>59</v>
      </c>
      <c r="CJ12" s="62"/>
      <c r="CK12" s="143"/>
      <c r="CL12" s="13">
        <f t="shared" si="32"/>
        <v>59</v>
      </c>
      <c r="CM12" s="62"/>
      <c r="CN12" s="143"/>
      <c r="CO12" s="13">
        <f t="shared" si="22"/>
        <v>59</v>
      </c>
      <c r="CP12" s="62"/>
      <c r="CQ12" s="143"/>
      <c r="CR12" s="13">
        <f t="shared" si="33"/>
        <v>59</v>
      </c>
      <c r="CS12" s="62"/>
      <c r="CT12" s="143"/>
      <c r="CU12" s="14">
        <f t="shared" si="23"/>
        <v>59</v>
      </c>
      <c r="CV12" s="5">
        <f t="shared" si="24"/>
        <v>40</v>
      </c>
      <c r="CW12" s="4">
        <f t="shared" si="24"/>
        <v>41</v>
      </c>
      <c r="CX12" s="6">
        <f t="shared" si="25"/>
        <v>59</v>
      </c>
      <c r="CY12" s="162">
        <v>45</v>
      </c>
      <c r="CZ12" s="171">
        <f t="shared" si="26"/>
        <v>2655</v>
      </c>
      <c r="DB12" s="2">
        <f t="shared" si="34"/>
        <v>59</v>
      </c>
      <c r="DC12" s="61"/>
      <c r="DD12" s="143"/>
      <c r="DE12" s="149">
        <f t="shared" si="35"/>
        <v>59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3</v>
      </c>
      <c r="E13" s="34" t="s">
        <v>26</v>
      </c>
      <c r="F13" s="14">
        <v>9</v>
      </c>
      <c r="G13" s="62"/>
      <c r="H13" s="143"/>
      <c r="I13" s="13">
        <f t="shared" si="0"/>
        <v>9</v>
      </c>
      <c r="J13" s="62"/>
      <c r="K13" s="143"/>
      <c r="L13" s="13">
        <f t="shared" si="1"/>
        <v>9</v>
      </c>
      <c r="M13" s="62"/>
      <c r="N13" s="143"/>
      <c r="O13" s="13">
        <f t="shared" si="2"/>
        <v>9</v>
      </c>
      <c r="P13" s="62"/>
      <c r="Q13" s="143"/>
      <c r="R13" s="30">
        <f t="shared" si="3"/>
        <v>9</v>
      </c>
      <c r="S13" s="62"/>
      <c r="T13" s="143">
        <f>3.5+0.75</f>
        <v>4.25</v>
      </c>
      <c r="U13" s="13">
        <f t="shared" si="4"/>
        <v>4.75</v>
      </c>
      <c r="V13" s="62"/>
      <c r="W13" s="143"/>
      <c r="X13" s="13">
        <f t="shared" si="5"/>
        <v>4.75</v>
      </c>
      <c r="Y13" s="62"/>
      <c r="Z13" s="143"/>
      <c r="AA13" s="13">
        <f t="shared" si="27"/>
        <v>4.75</v>
      </c>
      <c r="AB13" s="62"/>
      <c r="AC13" s="143"/>
      <c r="AD13" s="13">
        <f t="shared" si="28"/>
        <v>4.75</v>
      </c>
      <c r="AE13" s="62"/>
      <c r="AF13" s="143"/>
      <c r="AG13" s="13">
        <f t="shared" si="29"/>
        <v>4.75</v>
      </c>
      <c r="AH13" s="62"/>
      <c r="AI13" s="143"/>
      <c r="AJ13" s="13">
        <f t="shared" si="30"/>
        <v>4.75</v>
      </c>
      <c r="AK13" s="62"/>
      <c r="AL13" s="143"/>
      <c r="AM13" s="13">
        <f t="shared" si="6"/>
        <v>4.75</v>
      </c>
      <c r="AN13" s="62"/>
      <c r="AO13" s="143"/>
      <c r="AP13" s="13">
        <f t="shared" si="7"/>
        <v>4.75</v>
      </c>
      <c r="AQ13" s="62"/>
      <c r="AR13" s="143"/>
      <c r="AS13" s="13">
        <f t="shared" si="8"/>
        <v>4.75</v>
      </c>
      <c r="AT13" s="62"/>
      <c r="AU13" s="143"/>
      <c r="AV13" s="13">
        <f t="shared" si="9"/>
        <v>4.75</v>
      </c>
      <c r="AW13" s="62"/>
      <c r="AX13" s="143"/>
      <c r="AY13" s="13">
        <f t="shared" si="10"/>
        <v>4.75</v>
      </c>
      <c r="AZ13" s="62"/>
      <c r="BA13" s="143"/>
      <c r="BB13" s="13">
        <f t="shared" si="11"/>
        <v>4.75</v>
      </c>
      <c r="BC13" s="62"/>
      <c r="BD13" s="143"/>
      <c r="BE13" s="13">
        <f t="shared" si="12"/>
        <v>4.75</v>
      </c>
      <c r="BF13" s="62"/>
      <c r="BG13" s="143"/>
      <c r="BH13" s="13">
        <f t="shared" si="13"/>
        <v>4.75</v>
      </c>
      <c r="BI13" s="62"/>
      <c r="BJ13" s="143"/>
      <c r="BK13" s="13">
        <f t="shared" si="14"/>
        <v>4.75</v>
      </c>
      <c r="BL13" s="62"/>
      <c r="BM13" s="143"/>
      <c r="BN13" s="13">
        <f t="shared" si="15"/>
        <v>4.75</v>
      </c>
      <c r="BO13" s="62"/>
      <c r="BP13" s="143"/>
      <c r="BQ13" s="13">
        <f t="shared" si="16"/>
        <v>4.75</v>
      </c>
      <c r="BR13" s="62"/>
      <c r="BS13" s="143"/>
      <c r="BT13" s="13">
        <f t="shared" si="17"/>
        <v>4.75</v>
      </c>
      <c r="BU13" s="62"/>
      <c r="BV13" s="143"/>
      <c r="BW13" s="13">
        <f t="shared" si="18"/>
        <v>4.75</v>
      </c>
      <c r="BX13" s="62"/>
      <c r="BY13" s="143"/>
      <c r="BZ13" s="13">
        <f t="shared" si="19"/>
        <v>4.75</v>
      </c>
      <c r="CA13" s="62"/>
      <c r="CB13" s="143"/>
      <c r="CC13" s="13">
        <f t="shared" si="20"/>
        <v>4.75</v>
      </c>
      <c r="CD13" s="62"/>
      <c r="CE13" s="143"/>
      <c r="CF13" s="13">
        <f t="shared" si="21"/>
        <v>4.75</v>
      </c>
      <c r="CG13" s="62"/>
      <c r="CH13" s="143"/>
      <c r="CI13" s="13">
        <f>CF13+CG13-CH13</f>
        <v>4.75</v>
      </c>
      <c r="CJ13" s="62"/>
      <c r="CK13" s="143"/>
      <c r="CL13" s="13">
        <f>CI13+CJ13-CK13</f>
        <v>4.75</v>
      </c>
      <c r="CM13" s="62"/>
      <c r="CN13" s="143"/>
      <c r="CO13" s="13">
        <f t="shared" si="22"/>
        <v>4.75</v>
      </c>
      <c r="CP13" s="62"/>
      <c r="CQ13" s="143"/>
      <c r="CR13" s="13">
        <f t="shared" si="33"/>
        <v>4.75</v>
      </c>
      <c r="CS13" s="62"/>
      <c r="CT13" s="143"/>
      <c r="CU13" s="14">
        <f t="shared" si="23"/>
        <v>4.75</v>
      </c>
      <c r="CV13" s="5">
        <f t="shared" si="24"/>
        <v>0</v>
      </c>
      <c r="CW13" s="4">
        <f t="shared" si="24"/>
        <v>4.25</v>
      </c>
      <c r="CX13" s="6">
        <f t="shared" si="25"/>
        <v>4.75</v>
      </c>
      <c r="CY13" s="162">
        <v>433</v>
      </c>
      <c r="CZ13" s="171">
        <f t="shared" si="26"/>
        <v>2056.75</v>
      </c>
      <c r="DB13" s="2">
        <f t="shared" si="34"/>
        <v>4.75</v>
      </c>
      <c r="DC13" s="61"/>
      <c r="DD13" s="143"/>
      <c r="DE13" s="149">
        <f t="shared" si="35"/>
        <v>4.75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28.5</v>
      </c>
      <c r="G14" s="62"/>
      <c r="H14" s="143"/>
      <c r="I14" s="13">
        <f t="shared" si="0"/>
        <v>28.5</v>
      </c>
      <c r="J14" s="62"/>
      <c r="K14" s="143"/>
      <c r="L14" s="13">
        <f t="shared" si="1"/>
        <v>28.5</v>
      </c>
      <c r="M14" s="62">
        <v>16</v>
      </c>
      <c r="N14" s="143">
        <v>23</v>
      </c>
      <c r="O14" s="13">
        <f t="shared" si="2"/>
        <v>21.5</v>
      </c>
      <c r="P14" s="62"/>
      <c r="Q14" s="143"/>
      <c r="R14" s="30">
        <f t="shared" si="3"/>
        <v>21.5</v>
      </c>
      <c r="S14" s="62"/>
      <c r="T14" s="143">
        <f>2+2.5+1.5</f>
        <v>6</v>
      </c>
      <c r="U14" s="13">
        <f t="shared" si="4"/>
        <v>15.5</v>
      </c>
      <c r="V14" s="62"/>
      <c r="W14" s="143"/>
      <c r="X14" s="13">
        <f t="shared" si="5"/>
        <v>15.5</v>
      </c>
      <c r="Y14" s="62"/>
      <c r="Z14" s="143"/>
      <c r="AA14" s="13">
        <f t="shared" si="27"/>
        <v>15.5</v>
      </c>
      <c r="AB14" s="62"/>
      <c r="AC14" s="143"/>
      <c r="AD14" s="13">
        <f t="shared" si="28"/>
        <v>15.5</v>
      </c>
      <c r="AE14" s="62"/>
      <c r="AF14" s="143"/>
      <c r="AG14" s="13">
        <f t="shared" si="29"/>
        <v>15.5</v>
      </c>
      <c r="AH14" s="62"/>
      <c r="AI14" s="143"/>
      <c r="AJ14" s="13">
        <f t="shared" si="30"/>
        <v>15.5</v>
      </c>
      <c r="AK14" s="62"/>
      <c r="AL14" s="143"/>
      <c r="AM14" s="13">
        <f t="shared" si="6"/>
        <v>15.5</v>
      </c>
      <c r="AN14" s="62"/>
      <c r="AO14" s="143"/>
      <c r="AP14" s="13">
        <f t="shared" si="7"/>
        <v>15.5</v>
      </c>
      <c r="AQ14" s="62"/>
      <c r="AR14" s="143"/>
      <c r="AS14" s="13">
        <f t="shared" si="8"/>
        <v>15.5</v>
      </c>
      <c r="AT14" s="62"/>
      <c r="AU14" s="143"/>
      <c r="AV14" s="13">
        <f t="shared" si="9"/>
        <v>15.5</v>
      </c>
      <c r="AW14" s="62"/>
      <c r="AX14" s="143"/>
      <c r="AY14" s="180">
        <f t="shared" si="10"/>
        <v>15.5</v>
      </c>
      <c r="AZ14" s="62"/>
      <c r="BA14" s="143"/>
      <c r="BB14" s="13">
        <f t="shared" si="11"/>
        <v>15.5</v>
      </c>
      <c r="BC14" s="62"/>
      <c r="BD14" s="143"/>
      <c r="BE14" s="13">
        <f t="shared" si="12"/>
        <v>15.5</v>
      </c>
      <c r="BF14" s="62"/>
      <c r="BG14" s="143"/>
      <c r="BH14" s="13">
        <f t="shared" si="13"/>
        <v>15.5</v>
      </c>
      <c r="BI14" s="62"/>
      <c r="BJ14" s="143"/>
      <c r="BK14" s="13">
        <f t="shared" si="14"/>
        <v>15.5</v>
      </c>
      <c r="BL14" s="62"/>
      <c r="BM14" s="143"/>
      <c r="BN14" s="13">
        <f t="shared" si="15"/>
        <v>15.5</v>
      </c>
      <c r="BO14" s="62"/>
      <c r="BP14" s="143"/>
      <c r="BQ14" s="13">
        <f t="shared" si="16"/>
        <v>15.5</v>
      </c>
      <c r="BR14" s="62"/>
      <c r="BS14" s="143"/>
      <c r="BT14" s="13">
        <f t="shared" si="17"/>
        <v>15.5</v>
      </c>
      <c r="BU14" s="62"/>
      <c r="BV14" s="143"/>
      <c r="BW14" s="13">
        <f t="shared" si="18"/>
        <v>15.5</v>
      </c>
      <c r="BX14" s="62"/>
      <c r="BY14" s="143"/>
      <c r="BZ14" s="13">
        <f t="shared" si="19"/>
        <v>15.5</v>
      </c>
      <c r="CA14" s="62"/>
      <c r="CB14" s="143"/>
      <c r="CC14" s="13">
        <f t="shared" si="20"/>
        <v>15.5</v>
      </c>
      <c r="CD14" s="62"/>
      <c r="CE14" s="143"/>
      <c r="CF14" s="13">
        <f t="shared" si="21"/>
        <v>15.5</v>
      </c>
      <c r="CG14" s="62"/>
      <c r="CH14" s="143"/>
      <c r="CI14" s="13">
        <f t="shared" si="31"/>
        <v>15.5</v>
      </c>
      <c r="CJ14" s="62"/>
      <c r="CK14" s="143"/>
      <c r="CL14" s="13">
        <f t="shared" si="32"/>
        <v>15.5</v>
      </c>
      <c r="CM14" s="62"/>
      <c r="CN14" s="143"/>
      <c r="CO14" s="13">
        <f t="shared" si="22"/>
        <v>15.5</v>
      </c>
      <c r="CP14" s="62"/>
      <c r="CQ14" s="143"/>
      <c r="CR14" s="13">
        <f t="shared" si="33"/>
        <v>15.5</v>
      </c>
      <c r="CS14" s="62"/>
      <c r="CT14" s="143"/>
      <c r="CU14" s="14">
        <f t="shared" si="23"/>
        <v>15.5</v>
      </c>
      <c r="CV14" s="5">
        <f t="shared" si="24"/>
        <v>16</v>
      </c>
      <c r="CW14" s="4">
        <f t="shared" si="24"/>
        <v>29</v>
      </c>
      <c r="CX14" s="6">
        <f t="shared" si="25"/>
        <v>15.5</v>
      </c>
      <c r="CY14" s="162">
        <v>150</v>
      </c>
      <c r="CZ14" s="171">
        <f t="shared" si="26"/>
        <v>2325</v>
      </c>
      <c r="DB14" s="2">
        <f t="shared" si="34"/>
        <v>15.5</v>
      </c>
      <c r="DC14" s="61"/>
      <c r="DD14" s="143"/>
      <c r="DE14" s="149">
        <f t="shared" si="35"/>
        <v>15.5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91</v>
      </c>
      <c r="G15" s="62"/>
      <c r="H15" s="143"/>
      <c r="I15" s="13">
        <f t="shared" si="0"/>
        <v>91</v>
      </c>
      <c r="J15" s="62"/>
      <c r="K15" s="143"/>
      <c r="L15" s="13">
        <f t="shared" si="1"/>
        <v>91</v>
      </c>
      <c r="M15" s="62"/>
      <c r="N15" s="143"/>
      <c r="O15" s="13">
        <f t="shared" si="2"/>
        <v>91</v>
      </c>
      <c r="P15" s="62"/>
      <c r="Q15" s="143"/>
      <c r="R15" s="30">
        <f t="shared" si="3"/>
        <v>91</v>
      </c>
      <c r="S15" s="62"/>
      <c r="T15" s="143">
        <f>9+7+8</f>
        <v>24</v>
      </c>
      <c r="U15" s="13">
        <f t="shared" si="4"/>
        <v>67</v>
      </c>
      <c r="V15" s="62"/>
      <c r="W15" s="143"/>
      <c r="X15" s="13">
        <f t="shared" si="5"/>
        <v>67</v>
      </c>
      <c r="Y15" s="62"/>
      <c r="Z15" s="143"/>
      <c r="AA15" s="13">
        <f t="shared" si="27"/>
        <v>67</v>
      </c>
      <c r="AB15" s="62"/>
      <c r="AC15" s="143"/>
      <c r="AD15" s="13">
        <f t="shared" si="28"/>
        <v>67</v>
      </c>
      <c r="AE15" s="62"/>
      <c r="AF15" s="143"/>
      <c r="AG15" s="13">
        <f t="shared" si="29"/>
        <v>67</v>
      </c>
      <c r="AH15" s="62"/>
      <c r="AI15" s="143"/>
      <c r="AJ15" s="13">
        <f t="shared" si="30"/>
        <v>67</v>
      </c>
      <c r="AK15" s="62"/>
      <c r="AL15" s="143"/>
      <c r="AM15" s="13">
        <f t="shared" si="6"/>
        <v>67</v>
      </c>
      <c r="AN15" s="62"/>
      <c r="AO15" s="143"/>
      <c r="AP15" s="13">
        <f t="shared" si="7"/>
        <v>67</v>
      </c>
      <c r="AQ15" s="62"/>
      <c r="AR15" s="143"/>
      <c r="AS15" s="13">
        <f t="shared" si="8"/>
        <v>67</v>
      </c>
      <c r="AT15" s="62"/>
      <c r="AU15" s="143"/>
      <c r="AV15" s="13">
        <f t="shared" si="9"/>
        <v>67</v>
      </c>
      <c r="AW15" s="62"/>
      <c r="AX15" s="143"/>
      <c r="AY15" s="13">
        <f t="shared" si="10"/>
        <v>67</v>
      </c>
      <c r="AZ15" s="62"/>
      <c r="BA15" s="143"/>
      <c r="BB15" s="13">
        <f t="shared" si="11"/>
        <v>67</v>
      </c>
      <c r="BC15" s="62"/>
      <c r="BD15" s="143"/>
      <c r="BE15" s="13">
        <f t="shared" si="12"/>
        <v>67</v>
      </c>
      <c r="BF15" s="62"/>
      <c r="BG15" s="143"/>
      <c r="BH15" s="13">
        <f t="shared" si="13"/>
        <v>67</v>
      </c>
      <c r="BI15" s="62"/>
      <c r="BJ15" s="143"/>
      <c r="BK15" s="13">
        <f t="shared" si="14"/>
        <v>67</v>
      </c>
      <c r="BL15" s="62"/>
      <c r="BM15" s="143"/>
      <c r="BN15" s="13">
        <f t="shared" si="15"/>
        <v>67</v>
      </c>
      <c r="BO15" s="62"/>
      <c r="BP15" s="143"/>
      <c r="BQ15" s="13">
        <f t="shared" si="16"/>
        <v>67</v>
      </c>
      <c r="BR15" s="62"/>
      <c r="BS15" s="143"/>
      <c r="BT15" s="13">
        <f t="shared" si="17"/>
        <v>67</v>
      </c>
      <c r="BU15" s="62"/>
      <c r="BV15" s="143"/>
      <c r="BW15" s="13">
        <f t="shared" si="18"/>
        <v>67</v>
      </c>
      <c r="BX15" s="62"/>
      <c r="BY15" s="143"/>
      <c r="BZ15" s="13">
        <f t="shared" si="19"/>
        <v>67</v>
      </c>
      <c r="CA15" s="62"/>
      <c r="CB15" s="143"/>
      <c r="CC15" s="13">
        <f t="shared" si="20"/>
        <v>67</v>
      </c>
      <c r="CD15" s="62"/>
      <c r="CE15" s="143"/>
      <c r="CF15" s="13">
        <f t="shared" si="21"/>
        <v>67</v>
      </c>
      <c r="CG15" s="62"/>
      <c r="CH15" s="143"/>
      <c r="CI15" s="13">
        <f t="shared" si="31"/>
        <v>67</v>
      </c>
      <c r="CJ15" s="62"/>
      <c r="CK15" s="143"/>
      <c r="CL15" s="13">
        <f t="shared" si="32"/>
        <v>67</v>
      </c>
      <c r="CM15" s="62"/>
      <c r="CN15" s="143"/>
      <c r="CO15" s="13">
        <f t="shared" si="22"/>
        <v>67</v>
      </c>
      <c r="CP15" s="62"/>
      <c r="CQ15" s="143"/>
      <c r="CR15" s="13">
        <f t="shared" si="33"/>
        <v>67</v>
      </c>
      <c r="CS15" s="62"/>
      <c r="CT15" s="143"/>
      <c r="CU15" s="14">
        <f t="shared" si="23"/>
        <v>67</v>
      </c>
      <c r="CV15" s="5">
        <f t="shared" si="24"/>
        <v>0</v>
      </c>
      <c r="CW15" s="4">
        <f t="shared" si="24"/>
        <v>24</v>
      </c>
      <c r="CX15" s="6">
        <f t="shared" si="25"/>
        <v>67</v>
      </c>
      <c r="CY15" s="162">
        <v>84</v>
      </c>
      <c r="CZ15" s="171">
        <f t="shared" si="26"/>
        <v>5628</v>
      </c>
      <c r="DB15" s="2">
        <f t="shared" si="34"/>
        <v>67</v>
      </c>
      <c r="DC15" s="61"/>
      <c r="DD15" s="143"/>
      <c r="DE15" s="149">
        <f t="shared" si="35"/>
        <v>67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4</v>
      </c>
      <c r="G16" s="176"/>
      <c r="H16" s="143"/>
      <c r="I16" s="13">
        <f t="shared" si="0"/>
        <v>4</v>
      </c>
      <c r="J16" s="176"/>
      <c r="K16" s="143"/>
      <c r="L16" s="13">
        <f t="shared" si="1"/>
        <v>4</v>
      </c>
      <c r="M16" s="176">
        <v>25</v>
      </c>
      <c r="N16" s="143">
        <v>4</v>
      </c>
      <c r="O16" s="13">
        <f t="shared" si="2"/>
        <v>25</v>
      </c>
      <c r="P16" s="176"/>
      <c r="Q16" s="143"/>
      <c r="R16" s="30">
        <f t="shared" si="3"/>
        <v>25</v>
      </c>
      <c r="S16" s="176"/>
      <c r="T16" s="143">
        <f>7+4+6+3</f>
        <v>20</v>
      </c>
      <c r="U16" s="13">
        <f t="shared" si="4"/>
        <v>5</v>
      </c>
      <c r="V16" s="176"/>
      <c r="W16" s="143"/>
      <c r="X16" s="13">
        <f t="shared" si="5"/>
        <v>5</v>
      </c>
      <c r="Y16" s="176"/>
      <c r="Z16" s="143"/>
      <c r="AA16" s="13">
        <f t="shared" si="27"/>
        <v>5</v>
      </c>
      <c r="AB16" s="176"/>
      <c r="AC16" s="143"/>
      <c r="AD16" s="13">
        <f t="shared" si="28"/>
        <v>5</v>
      </c>
      <c r="AE16" s="176"/>
      <c r="AF16" s="143"/>
      <c r="AG16" s="13">
        <f t="shared" si="29"/>
        <v>5</v>
      </c>
      <c r="AH16" s="176"/>
      <c r="AI16" s="143"/>
      <c r="AJ16" s="13">
        <f t="shared" si="30"/>
        <v>5</v>
      </c>
      <c r="AK16" s="176"/>
      <c r="AL16" s="143"/>
      <c r="AM16" s="13">
        <f t="shared" si="6"/>
        <v>5</v>
      </c>
      <c r="AN16" s="176"/>
      <c r="AO16" s="143"/>
      <c r="AP16" s="13">
        <f t="shared" si="7"/>
        <v>5</v>
      </c>
      <c r="AQ16" s="176"/>
      <c r="AR16" s="143"/>
      <c r="AS16" s="13">
        <f t="shared" si="8"/>
        <v>5</v>
      </c>
      <c r="AT16" s="176"/>
      <c r="AU16" s="143"/>
      <c r="AV16" s="13">
        <f t="shared" si="9"/>
        <v>5</v>
      </c>
      <c r="AW16" s="176"/>
      <c r="AX16" s="143"/>
      <c r="AY16" s="13">
        <f t="shared" si="10"/>
        <v>5</v>
      </c>
      <c r="AZ16" s="176"/>
      <c r="BA16" s="143"/>
      <c r="BB16" s="13">
        <f t="shared" si="11"/>
        <v>5</v>
      </c>
      <c r="BC16" s="176"/>
      <c r="BD16" s="143"/>
      <c r="BE16" s="13">
        <f t="shared" si="12"/>
        <v>5</v>
      </c>
      <c r="BF16" s="176"/>
      <c r="BG16" s="143"/>
      <c r="BH16" s="13">
        <f t="shared" si="13"/>
        <v>5</v>
      </c>
      <c r="BI16" s="176"/>
      <c r="BJ16" s="143"/>
      <c r="BK16" s="13">
        <f t="shared" si="14"/>
        <v>5</v>
      </c>
      <c r="BL16" s="176"/>
      <c r="BM16" s="143"/>
      <c r="BN16" s="13">
        <f t="shared" si="15"/>
        <v>5</v>
      </c>
      <c r="BO16" s="176"/>
      <c r="BP16" s="143"/>
      <c r="BQ16" s="13">
        <f t="shared" si="16"/>
        <v>5</v>
      </c>
      <c r="BR16" s="176"/>
      <c r="BS16" s="143"/>
      <c r="BT16" s="13">
        <f t="shared" si="17"/>
        <v>5</v>
      </c>
      <c r="BU16" s="176"/>
      <c r="BV16" s="143"/>
      <c r="BW16" s="13">
        <f t="shared" si="18"/>
        <v>5</v>
      </c>
      <c r="BX16" s="176"/>
      <c r="BY16" s="143"/>
      <c r="BZ16" s="13">
        <f t="shared" si="19"/>
        <v>5</v>
      </c>
      <c r="CA16" s="176"/>
      <c r="CB16" s="143"/>
      <c r="CC16" s="13">
        <f t="shared" si="20"/>
        <v>5</v>
      </c>
      <c r="CD16" s="176"/>
      <c r="CE16" s="143"/>
      <c r="CF16" s="13">
        <f t="shared" si="21"/>
        <v>5</v>
      </c>
      <c r="CG16" s="176"/>
      <c r="CH16" s="143"/>
      <c r="CI16" s="13">
        <f t="shared" si="31"/>
        <v>5</v>
      </c>
      <c r="CJ16" s="176"/>
      <c r="CK16" s="143"/>
      <c r="CL16" s="13">
        <f t="shared" si="32"/>
        <v>5</v>
      </c>
      <c r="CM16" s="176"/>
      <c r="CN16" s="143"/>
      <c r="CO16" s="13">
        <f t="shared" si="22"/>
        <v>5</v>
      </c>
      <c r="CP16" s="176"/>
      <c r="CQ16" s="143"/>
      <c r="CR16" s="13">
        <f t="shared" si="33"/>
        <v>5</v>
      </c>
      <c r="CS16" s="176"/>
      <c r="CT16" s="143"/>
      <c r="CU16" s="14">
        <f t="shared" si="23"/>
        <v>5</v>
      </c>
      <c r="CV16" s="5">
        <f t="shared" si="24"/>
        <v>25</v>
      </c>
      <c r="CW16" s="4">
        <f t="shared" si="24"/>
        <v>24</v>
      </c>
      <c r="CX16" s="6">
        <f t="shared" si="25"/>
        <v>5</v>
      </c>
      <c r="CY16" s="162">
        <v>120</v>
      </c>
      <c r="CZ16" s="171">
        <f t="shared" si="26"/>
        <v>600</v>
      </c>
      <c r="DB16" s="2">
        <f t="shared" si="34"/>
        <v>5</v>
      </c>
      <c r="DC16" s="63"/>
      <c r="DD16" s="143"/>
      <c r="DE16" s="149">
        <f t="shared" si="35"/>
        <v>5</v>
      </c>
    </row>
    <row r="17" spans="1:109" ht="15.75" customHeight="1">
      <c r="A17" s="33"/>
      <c r="B17" s="49" t="s">
        <v>46</v>
      </c>
      <c r="C17" s="108" t="s">
        <v>47</v>
      </c>
      <c r="D17" s="52" t="s">
        <v>57</v>
      </c>
      <c r="E17" s="52" t="s">
        <v>47</v>
      </c>
      <c r="F17" s="14">
        <v>68</v>
      </c>
      <c r="G17" s="62"/>
      <c r="H17" s="143"/>
      <c r="I17" s="13">
        <f t="shared" si="0"/>
        <v>68</v>
      </c>
      <c r="J17" s="62"/>
      <c r="K17" s="143"/>
      <c r="L17" s="13">
        <f t="shared" si="1"/>
        <v>68</v>
      </c>
      <c r="M17" s="62"/>
      <c r="N17" s="143">
        <v>41</v>
      </c>
      <c r="O17" s="13">
        <f t="shared" si="2"/>
        <v>27</v>
      </c>
      <c r="P17" s="62"/>
      <c r="Q17" s="143"/>
      <c r="R17" s="30">
        <f t="shared" si="3"/>
        <v>27</v>
      </c>
      <c r="S17" s="62"/>
      <c r="T17" s="143">
        <f>4</f>
        <v>4</v>
      </c>
      <c r="U17" s="13">
        <f t="shared" si="4"/>
        <v>23</v>
      </c>
      <c r="V17" s="62"/>
      <c r="W17" s="143"/>
      <c r="X17" s="13">
        <f t="shared" si="5"/>
        <v>23</v>
      </c>
      <c r="Y17" s="62"/>
      <c r="Z17" s="143"/>
      <c r="AA17" s="13">
        <f t="shared" si="27"/>
        <v>23</v>
      </c>
      <c r="AB17" s="62"/>
      <c r="AC17" s="143"/>
      <c r="AD17" s="13">
        <f t="shared" si="28"/>
        <v>23</v>
      </c>
      <c r="AE17" s="62"/>
      <c r="AF17" s="143"/>
      <c r="AG17" s="13">
        <f t="shared" si="29"/>
        <v>23</v>
      </c>
      <c r="AH17" s="62"/>
      <c r="AI17" s="143"/>
      <c r="AJ17" s="13">
        <f t="shared" si="30"/>
        <v>23</v>
      </c>
      <c r="AK17" s="62"/>
      <c r="AL17" s="143"/>
      <c r="AM17" s="13">
        <f t="shared" si="6"/>
        <v>23</v>
      </c>
      <c r="AN17" s="62"/>
      <c r="AO17" s="143"/>
      <c r="AP17" s="13">
        <f t="shared" si="7"/>
        <v>23</v>
      </c>
      <c r="AQ17" s="62"/>
      <c r="AR17" s="143"/>
      <c r="AS17" s="13">
        <f t="shared" si="8"/>
        <v>23</v>
      </c>
      <c r="AT17" s="62"/>
      <c r="AU17" s="143"/>
      <c r="AV17" s="13">
        <f t="shared" si="9"/>
        <v>23</v>
      </c>
      <c r="AW17" s="62"/>
      <c r="AX17" s="143"/>
      <c r="AY17" s="13">
        <f t="shared" si="10"/>
        <v>23</v>
      </c>
      <c r="AZ17" s="62"/>
      <c r="BA17" s="143"/>
      <c r="BB17" s="13">
        <f t="shared" si="11"/>
        <v>23</v>
      </c>
      <c r="BC17" s="62"/>
      <c r="BD17" s="143"/>
      <c r="BE17" s="13">
        <f t="shared" si="12"/>
        <v>23</v>
      </c>
      <c r="BF17" s="62"/>
      <c r="BG17" s="143"/>
      <c r="BH17" s="13">
        <f t="shared" si="13"/>
        <v>23</v>
      </c>
      <c r="BI17" s="62"/>
      <c r="BJ17" s="143"/>
      <c r="BK17" s="13">
        <f t="shared" si="14"/>
        <v>23</v>
      </c>
      <c r="BL17" s="62"/>
      <c r="BM17" s="143"/>
      <c r="BN17" s="13">
        <f t="shared" si="15"/>
        <v>23</v>
      </c>
      <c r="BO17" s="62"/>
      <c r="BP17" s="143"/>
      <c r="BQ17" s="13">
        <f t="shared" si="16"/>
        <v>23</v>
      </c>
      <c r="BR17" s="62"/>
      <c r="BS17" s="143"/>
      <c r="BT17" s="13">
        <f t="shared" si="17"/>
        <v>23</v>
      </c>
      <c r="BU17" s="62"/>
      <c r="BV17" s="143"/>
      <c r="BW17" s="13">
        <f t="shared" si="18"/>
        <v>23</v>
      </c>
      <c r="BX17" s="62"/>
      <c r="BY17" s="143"/>
      <c r="BZ17" s="13">
        <f t="shared" si="19"/>
        <v>23</v>
      </c>
      <c r="CA17" s="62"/>
      <c r="CB17" s="143"/>
      <c r="CC17" s="13">
        <f t="shared" si="20"/>
        <v>23</v>
      </c>
      <c r="CD17" s="62"/>
      <c r="CE17" s="143"/>
      <c r="CF17" s="13">
        <f t="shared" si="21"/>
        <v>23</v>
      </c>
      <c r="CG17" s="62"/>
      <c r="CH17" s="143"/>
      <c r="CI17" s="13">
        <f t="shared" si="31"/>
        <v>23</v>
      </c>
      <c r="CJ17" s="62"/>
      <c r="CK17" s="143"/>
      <c r="CL17" s="13">
        <f t="shared" si="32"/>
        <v>23</v>
      </c>
      <c r="CM17" s="62"/>
      <c r="CN17" s="143"/>
      <c r="CO17" s="13">
        <f t="shared" si="22"/>
        <v>23</v>
      </c>
      <c r="CP17" s="62"/>
      <c r="CQ17" s="143"/>
      <c r="CR17" s="13">
        <f t="shared" si="33"/>
        <v>23</v>
      </c>
      <c r="CS17" s="62"/>
      <c r="CT17" s="143"/>
      <c r="CU17" s="14">
        <f t="shared" si="23"/>
        <v>23</v>
      </c>
      <c r="CV17" s="5">
        <f t="shared" si="24"/>
        <v>0</v>
      </c>
      <c r="CW17" s="4">
        <f t="shared" si="24"/>
        <v>45</v>
      </c>
      <c r="CX17" s="6">
        <f t="shared" si="25"/>
        <v>23</v>
      </c>
      <c r="CY17" s="162">
        <v>200</v>
      </c>
      <c r="CZ17" s="171">
        <f t="shared" si="26"/>
        <v>4600</v>
      </c>
      <c r="DB17" s="2">
        <f t="shared" si="34"/>
        <v>23</v>
      </c>
      <c r="DC17" s="61"/>
      <c r="DD17" s="143"/>
      <c r="DE17" s="149">
        <f t="shared" si="35"/>
        <v>23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6.5000000000000018</v>
      </c>
      <c r="G18" s="62"/>
      <c r="H18" s="143"/>
      <c r="I18" s="13">
        <f t="shared" si="0"/>
        <v>6.5000000000000018</v>
      </c>
      <c r="J18" s="62"/>
      <c r="K18" s="143"/>
      <c r="L18" s="13">
        <f t="shared" si="1"/>
        <v>6.5000000000000018</v>
      </c>
      <c r="M18" s="62"/>
      <c r="N18" s="143"/>
      <c r="O18" s="13">
        <f t="shared" si="2"/>
        <v>6.5000000000000018</v>
      </c>
      <c r="P18" s="62"/>
      <c r="Q18" s="143"/>
      <c r="R18" s="30">
        <f t="shared" si="3"/>
        <v>6.5000000000000018</v>
      </c>
      <c r="S18" s="62"/>
      <c r="T18" s="143">
        <v>4.5999999999999996</v>
      </c>
      <c r="U18" s="13">
        <f t="shared" si="4"/>
        <v>1.9000000000000021</v>
      </c>
      <c r="V18" s="62"/>
      <c r="W18" s="143"/>
      <c r="X18" s="13">
        <f t="shared" si="5"/>
        <v>1.9000000000000021</v>
      </c>
      <c r="Y18" s="62"/>
      <c r="Z18" s="143"/>
      <c r="AA18" s="13">
        <f t="shared" si="27"/>
        <v>1.9000000000000021</v>
      </c>
      <c r="AB18" s="62"/>
      <c r="AC18" s="143"/>
      <c r="AD18" s="13">
        <f t="shared" si="28"/>
        <v>1.9000000000000021</v>
      </c>
      <c r="AE18" s="62"/>
      <c r="AF18" s="143"/>
      <c r="AG18" s="13">
        <f>AD18+AE18-AF18</f>
        <v>1.9000000000000021</v>
      </c>
      <c r="AH18" s="62"/>
      <c r="AI18" s="143"/>
      <c r="AJ18" s="13">
        <f t="shared" si="30"/>
        <v>1.9000000000000021</v>
      </c>
      <c r="AK18" s="62"/>
      <c r="AL18" s="143"/>
      <c r="AM18" s="13">
        <f t="shared" si="6"/>
        <v>1.9000000000000021</v>
      </c>
      <c r="AN18" s="62"/>
      <c r="AO18" s="143"/>
      <c r="AP18" s="13">
        <f t="shared" si="7"/>
        <v>1.9000000000000021</v>
      </c>
      <c r="AQ18" s="62"/>
      <c r="AR18" s="143"/>
      <c r="AS18" s="13">
        <f t="shared" si="8"/>
        <v>1.9000000000000021</v>
      </c>
      <c r="AT18" s="62"/>
      <c r="AU18" s="143"/>
      <c r="AV18" s="13">
        <f t="shared" si="9"/>
        <v>1.9000000000000021</v>
      </c>
      <c r="AW18" s="62"/>
      <c r="AX18" s="143"/>
      <c r="AY18" s="13">
        <f t="shared" si="10"/>
        <v>1.9000000000000021</v>
      </c>
      <c r="AZ18" s="62"/>
      <c r="BA18" s="143"/>
      <c r="BB18" s="13">
        <f t="shared" si="11"/>
        <v>1.9000000000000021</v>
      </c>
      <c r="BC18" s="62"/>
      <c r="BD18" s="143"/>
      <c r="BE18" s="13">
        <f t="shared" si="12"/>
        <v>1.9000000000000021</v>
      </c>
      <c r="BF18" s="62"/>
      <c r="BG18" s="143"/>
      <c r="BH18" s="13">
        <f t="shared" si="13"/>
        <v>1.9000000000000021</v>
      </c>
      <c r="BI18" s="62"/>
      <c r="BJ18" s="143"/>
      <c r="BK18" s="13">
        <f t="shared" si="14"/>
        <v>1.9000000000000021</v>
      </c>
      <c r="BL18" s="62"/>
      <c r="BM18" s="143"/>
      <c r="BN18" s="13">
        <f t="shared" si="15"/>
        <v>1.9000000000000021</v>
      </c>
      <c r="BO18" s="62"/>
      <c r="BP18" s="143"/>
      <c r="BQ18" s="13">
        <f t="shared" si="16"/>
        <v>1.9000000000000021</v>
      </c>
      <c r="BR18" s="62"/>
      <c r="BS18" s="143"/>
      <c r="BT18" s="13">
        <f t="shared" si="17"/>
        <v>1.9000000000000021</v>
      </c>
      <c r="BU18" s="62"/>
      <c r="BV18" s="143"/>
      <c r="BW18" s="13">
        <f t="shared" si="18"/>
        <v>1.9000000000000021</v>
      </c>
      <c r="BX18" s="62"/>
      <c r="BY18" s="143"/>
      <c r="BZ18" s="13">
        <f t="shared" si="19"/>
        <v>1.9000000000000021</v>
      </c>
      <c r="CA18" s="62"/>
      <c r="CB18" s="143"/>
      <c r="CC18" s="13">
        <f t="shared" si="20"/>
        <v>1.9000000000000021</v>
      </c>
      <c r="CD18" s="62"/>
      <c r="CE18" s="143"/>
      <c r="CF18" s="13">
        <f t="shared" si="21"/>
        <v>1.9000000000000021</v>
      </c>
      <c r="CG18" s="62"/>
      <c r="CH18" s="143"/>
      <c r="CI18" s="13">
        <f t="shared" si="31"/>
        <v>1.9000000000000021</v>
      </c>
      <c r="CJ18" s="62"/>
      <c r="CK18" s="143"/>
      <c r="CL18" s="13">
        <f t="shared" si="32"/>
        <v>1.9000000000000021</v>
      </c>
      <c r="CM18" s="62"/>
      <c r="CN18" s="143"/>
      <c r="CO18" s="13">
        <f t="shared" si="22"/>
        <v>1.9000000000000021</v>
      </c>
      <c r="CP18" s="62"/>
      <c r="CQ18" s="143"/>
      <c r="CR18" s="13">
        <f t="shared" si="33"/>
        <v>1.9000000000000021</v>
      </c>
      <c r="CS18" s="62"/>
      <c r="CT18" s="143"/>
      <c r="CU18" s="14">
        <f t="shared" si="23"/>
        <v>1.9000000000000021</v>
      </c>
      <c r="CV18" s="5">
        <f t="shared" si="24"/>
        <v>0</v>
      </c>
      <c r="CW18" s="4">
        <f t="shared" si="24"/>
        <v>4.5999999999999996</v>
      </c>
      <c r="CX18" s="6">
        <f t="shared" si="25"/>
        <v>1.9000000000000021</v>
      </c>
      <c r="CY18" s="162">
        <v>500</v>
      </c>
      <c r="CZ18" s="171">
        <f t="shared" si="26"/>
        <v>950.00000000000102</v>
      </c>
      <c r="DB18" s="2">
        <f t="shared" si="34"/>
        <v>1.9000000000000021</v>
      </c>
      <c r="DC18" s="61"/>
      <c r="DD18" s="143"/>
      <c r="DE18" s="149">
        <f t="shared" si="35"/>
        <v>1.9000000000000021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0.60000000000000053</v>
      </c>
      <c r="G19" s="62"/>
      <c r="H19" s="143"/>
      <c r="I19" s="13">
        <f t="shared" si="0"/>
        <v>0.60000000000000053</v>
      </c>
      <c r="J19" s="62"/>
      <c r="K19" s="143"/>
      <c r="L19" s="13">
        <f t="shared" si="1"/>
        <v>0.60000000000000053</v>
      </c>
      <c r="M19" s="62">
        <v>5</v>
      </c>
      <c r="N19" s="143"/>
      <c r="O19" s="13">
        <f t="shared" si="2"/>
        <v>5.6000000000000005</v>
      </c>
      <c r="P19" s="62"/>
      <c r="Q19" s="143"/>
      <c r="R19" s="30">
        <f t="shared" si="3"/>
        <v>5.6000000000000005</v>
      </c>
      <c r="S19" s="62"/>
      <c r="T19" s="143">
        <f>1.4+4</f>
        <v>5.4</v>
      </c>
      <c r="U19" s="13">
        <f t="shared" si="4"/>
        <v>0.20000000000000018</v>
      </c>
      <c r="V19" s="62"/>
      <c r="W19" s="143"/>
      <c r="X19" s="30">
        <f t="shared" si="5"/>
        <v>0.20000000000000018</v>
      </c>
      <c r="Y19" s="62"/>
      <c r="Z19" s="143"/>
      <c r="AA19" s="13">
        <f t="shared" si="27"/>
        <v>0.20000000000000018</v>
      </c>
      <c r="AB19" s="62"/>
      <c r="AC19" s="143"/>
      <c r="AD19" s="13">
        <f t="shared" si="28"/>
        <v>0.20000000000000018</v>
      </c>
      <c r="AE19" s="62"/>
      <c r="AF19" s="143"/>
      <c r="AG19" s="13">
        <f t="shared" si="29"/>
        <v>0.20000000000000018</v>
      </c>
      <c r="AH19" s="62"/>
      <c r="AI19" s="143"/>
      <c r="AJ19" s="13">
        <f t="shared" si="30"/>
        <v>0.20000000000000018</v>
      </c>
      <c r="AK19" s="62"/>
      <c r="AL19" s="143"/>
      <c r="AM19" s="13">
        <f t="shared" si="6"/>
        <v>0.20000000000000018</v>
      </c>
      <c r="AN19" s="62"/>
      <c r="AO19" s="143"/>
      <c r="AP19" s="13">
        <f t="shared" si="7"/>
        <v>0.20000000000000018</v>
      </c>
      <c r="AQ19" s="62"/>
      <c r="AR19" s="143"/>
      <c r="AS19" s="13">
        <f t="shared" si="8"/>
        <v>0.20000000000000018</v>
      </c>
      <c r="AT19" s="62"/>
      <c r="AU19" s="143"/>
      <c r="AV19" s="13">
        <f t="shared" si="9"/>
        <v>0.20000000000000018</v>
      </c>
      <c r="AW19" s="62"/>
      <c r="AX19" s="143"/>
      <c r="AY19" s="13">
        <f t="shared" si="10"/>
        <v>0.20000000000000018</v>
      </c>
      <c r="AZ19" s="62"/>
      <c r="BA19" s="143"/>
      <c r="BB19" s="13">
        <f t="shared" si="11"/>
        <v>0.20000000000000018</v>
      </c>
      <c r="BC19" s="62"/>
      <c r="BD19" s="143"/>
      <c r="BE19" s="13">
        <f t="shared" si="12"/>
        <v>0.20000000000000018</v>
      </c>
      <c r="BF19" s="62"/>
      <c r="BG19" s="143"/>
      <c r="BH19" s="13">
        <f t="shared" si="13"/>
        <v>0.20000000000000018</v>
      </c>
      <c r="BI19" s="62"/>
      <c r="BJ19" s="143"/>
      <c r="BK19" s="13">
        <f t="shared" si="14"/>
        <v>0.20000000000000018</v>
      </c>
      <c r="BL19" s="62"/>
      <c r="BM19" s="143"/>
      <c r="BN19" s="13">
        <f t="shared" si="15"/>
        <v>0.20000000000000018</v>
      </c>
      <c r="BO19" s="62"/>
      <c r="BP19" s="143"/>
      <c r="BQ19" s="13">
        <f t="shared" si="16"/>
        <v>0.20000000000000018</v>
      </c>
      <c r="BR19" s="62"/>
      <c r="BS19" s="143"/>
      <c r="BT19" s="13">
        <f t="shared" si="17"/>
        <v>0.20000000000000018</v>
      </c>
      <c r="BU19" s="62"/>
      <c r="BV19" s="143"/>
      <c r="BW19" s="13">
        <f t="shared" si="18"/>
        <v>0.20000000000000018</v>
      </c>
      <c r="BX19" s="62"/>
      <c r="BY19" s="143"/>
      <c r="BZ19" s="13">
        <f t="shared" si="19"/>
        <v>0.20000000000000018</v>
      </c>
      <c r="CA19" s="62"/>
      <c r="CB19" s="143"/>
      <c r="CC19" s="13">
        <f t="shared" si="20"/>
        <v>0.20000000000000018</v>
      </c>
      <c r="CD19" s="62"/>
      <c r="CE19" s="143"/>
      <c r="CF19" s="13">
        <f t="shared" si="21"/>
        <v>0.20000000000000018</v>
      </c>
      <c r="CG19" s="62"/>
      <c r="CH19" s="143"/>
      <c r="CI19" s="13">
        <f t="shared" si="31"/>
        <v>0.20000000000000018</v>
      </c>
      <c r="CJ19" s="62"/>
      <c r="CK19" s="143"/>
      <c r="CL19" s="13">
        <f t="shared" si="32"/>
        <v>0.20000000000000018</v>
      </c>
      <c r="CM19" s="62"/>
      <c r="CN19" s="143"/>
      <c r="CO19" s="13">
        <f t="shared" si="22"/>
        <v>0.20000000000000018</v>
      </c>
      <c r="CP19" s="62"/>
      <c r="CQ19" s="143"/>
      <c r="CR19" s="13">
        <f>CO19+CP19-CQ19</f>
        <v>0.20000000000000018</v>
      </c>
      <c r="CS19" s="62"/>
      <c r="CT19" s="143"/>
      <c r="CU19" s="14">
        <f t="shared" si="23"/>
        <v>0.20000000000000018</v>
      </c>
      <c r="CV19" s="5">
        <f t="shared" si="24"/>
        <v>5</v>
      </c>
      <c r="CW19" s="4">
        <f t="shared" si="24"/>
        <v>5.4</v>
      </c>
      <c r="CX19" s="6">
        <f t="shared" si="25"/>
        <v>0.20000000000000018</v>
      </c>
      <c r="CY19" s="162">
        <v>600</v>
      </c>
      <c r="CZ19" s="171">
        <f t="shared" si="26"/>
        <v>120.00000000000011</v>
      </c>
      <c r="DB19" s="2">
        <f t="shared" si="34"/>
        <v>0.20000000000000018</v>
      </c>
      <c r="DC19" s="61"/>
      <c r="DD19" s="143"/>
      <c r="DE19" s="149">
        <f t="shared" si="35"/>
        <v>0.20000000000000018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10.30000000000001</v>
      </c>
      <c r="G22" s="62"/>
      <c r="H22" s="143"/>
      <c r="I22" s="13">
        <f t="shared" si="0"/>
        <v>10.30000000000001</v>
      </c>
      <c r="J22" s="62"/>
      <c r="K22" s="143"/>
      <c r="L22" s="13">
        <f t="shared" si="1"/>
        <v>10.30000000000001</v>
      </c>
      <c r="M22" s="62"/>
      <c r="N22" s="143"/>
      <c r="O22" s="13">
        <f t="shared" si="2"/>
        <v>10.30000000000001</v>
      </c>
      <c r="P22" s="62"/>
      <c r="Q22" s="143"/>
      <c r="R22" s="30">
        <f t="shared" si="3"/>
        <v>10.30000000000001</v>
      </c>
      <c r="S22" s="62"/>
      <c r="T22" s="143">
        <f>1+3.5</f>
        <v>4.5</v>
      </c>
      <c r="U22" s="13">
        <f t="shared" si="4"/>
        <v>5.8000000000000096</v>
      </c>
      <c r="V22" s="62"/>
      <c r="W22" s="143"/>
      <c r="X22" s="13">
        <f t="shared" si="5"/>
        <v>5.8000000000000096</v>
      </c>
      <c r="Y22" s="62"/>
      <c r="Z22" s="143"/>
      <c r="AA22" s="13">
        <f t="shared" si="27"/>
        <v>5.8000000000000096</v>
      </c>
      <c r="AB22" s="62"/>
      <c r="AC22" s="143"/>
      <c r="AD22" s="13">
        <f t="shared" si="28"/>
        <v>5.8000000000000096</v>
      </c>
      <c r="AE22" s="62"/>
      <c r="AF22" s="143"/>
      <c r="AG22" s="13">
        <f t="shared" si="29"/>
        <v>5.8000000000000096</v>
      </c>
      <c r="AH22" s="62"/>
      <c r="AI22" s="143"/>
      <c r="AJ22" s="13">
        <f t="shared" si="30"/>
        <v>5.8000000000000096</v>
      </c>
      <c r="AK22" s="62"/>
      <c r="AL22" s="143"/>
      <c r="AM22" s="13">
        <f t="shared" si="6"/>
        <v>5.8000000000000096</v>
      </c>
      <c r="AN22" s="62"/>
      <c r="AO22" s="143"/>
      <c r="AP22" s="13">
        <f t="shared" si="7"/>
        <v>5.8000000000000096</v>
      </c>
      <c r="AQ22" s="62"/>
      <c r="AR22" s="143"/>
      <c r="AS22" s="13">
        <f t="shared" si="8"/>
        <v>5.8000000000000096</v>
      </c>
      <c r="AT22" s="62"/>
      <c r="AU22" s="143"/>
      <c r="AV22" s="13">
        <f t="shared" si="9"/>
        <v>5.8000000000000096</v>
      </c>
      <c r="AW22" s="62"/>
      <c r="AX22" s="143"/>
      <c r="AY22" s="13">
        <f t="shared" si="10"/>
        <v>5.8000000000000096</v>
      </c>
      <c r="AZ22" s="62"/>
      <c r="BA22" s="143"/>
      <c r="BB22" s="13">
        <f t="shared" si="11"/>
        <v>5.8000000000000096</v>
      </c>
      <c r="BC22" s="62"/>
      <c r="BD22" s="143"/>
      <c r="BE22" s="13">
        <f t="shared" si="12"/>
        <v>5.8000000000000096</v>
      </c>
      <c r="BF22" s="62"/>
      <c r="BG22" s="143"/>
      <c r="BH22" s="13">
        <f t="shared" si="13"/>
        <v>5.8000000000000096</v>
      </c>
      <c r="BI22" s="62"/>
      <c r="BJ22" s="143"/>
      <c r="BK22" s="13">
        <f t="shared" si="14"/>
        <v>5.8000000000000096</v>
      </c>
      <c r="BL22" s="62"/>
      <c r="BM22" s="143"/>
      <c r="BN22" s="13">
        <f t="shared" si="15"/>
        <v>5.8000000000000096</v>
      </c>
      <c r="BO22" s="62"/>
      <c r="BP22" s="143"/>
      <c r="BQ22" s="13">
        <f t="shared" si="16"/>
        <v>5.8000000000000096</v>
      </c>
      <c r="BR22" s="62"/>
      <c r="BS22" s="143"/>
      <c r="BT22" s="13">
        <f t="shared" si="17"/>
        <v>5.8000000000000096</v>
      </c>
      <c r="BU22" s="62"/>
      <c r="BV22" s="143"/>
      <c r="BW22" s="13">
        <f t="shared" si="18"/>
        <v>5.8000000000000096</v>
      </c>
      <c r="BX22" s="62"/>
      <c r="BY22" s="143"/>
      <c r="BZ22" s="13">
        <f t="shared" si="19"/>
        <v>5.8000000000000096</v>
      </c>
      <c r="CA22" s="62"/>
      <c r="CB22" s="143"/>
      <c r="CC22" s="13">
        <f t="shared" si="20"/>
        <v>5.8000000000000096</v>
      </c>
      <c r="CD22" s="62"/>
      <c r="CE22" s="143"/>
      <c r="CF22" s="13">
        <f t="shared" si="21"/>
        <v>5.8000000000000096</v>
      </c>
      <c r="CG22" s="62"/>
      <c r="CH22" s="143"/>
      <c r="CI22" s="13">
        <f t="shared" si="31"/>
        <v>5.8000000000000096</v>
      </c>
      <c r="CJ22" s="62"/>
      <c r="CK22" s="143"/>
      <c r="CL22" s="13">
        <f t="shared" si="32"/>
        <v>5.8000000000000096</v>
      </c>
      <c r="CM22" s="62"/>
      <c r="CN22" s="143"/>
      <c r="CO22" s="13">
        <f t="shared" si="22"/>
        <v>5.8000000000000096</v>
      </c>
      <c r="CP22" s="62"/>
      <c r="CQ22" s="143"/>
      <c r="CR22" s="13">
        <f t="shared" si="33"/>
        <v>5.8000000000000096</v>
      </c>
      <c r="CS22" s="62"/>
      <c r="CT22" s="143"/>
      <c r="CU22" s="14">
        <f t="shared" si="23"/>
        <v>5.8000000000000096</v>
      </c>
      <c r="CV22" s="5">
        <f t="shared" si="24"/>
        <v>0</v>
      </c>
      <c r="CW22" s="4">
        <f t="shared" si="24"/>
        <v>4.5</v>
      </c>
      <c r="CX22" s="6">
        <f t="shared" si="25"/>
        <v>5.8000000000000096</v>
      </c>
      <c r="CY22" s="162">
        <v>250</v>
      </c>
      <c r="CZ22" s="171">
        <f t="shared" si="26"/>
        <v>1450.0000000000025</v>
      </c>
      <c r="DB22" s="2">
        <f t="shared" si="34"/>
        <v>5.8000000000000096</v>
      </c>
      <c r="DC22" s="62"/>
      <c r="DD22" s="143"/>
      <c r="DE22" s="149">
        <f t="shared" si="35"/>
        <v>5.8000000000000096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53</v>
      </c>
      <c r="G23" s="62"/>
      <c r="H23" s="143"/>
      <c r="I23" s="13">
        <f t="shared" si="0"/>
        <v>53</v>
      </c>
      <c r="J23" s="62"/>
      <c r="K23" s="143"/>
      <c r="L23" s="13">
        <f t="shared" si="1"/>
        <v>53</v>
      </c>
      <c r="M23" s="62"/>
      <c r="N23" s="143">
        <v>22</v>
      </c>
      <c r="O23" s="13">
        <f t="shared" si="2"/>
        <v>31</v>
      </c>
      <c r="P23" s="62"/>
      <c r="Q23" s="143"/>
      <c r="R23" s="13">
        <f t="shared" si="3"/>
        <v>31</v>
      </c>
      <c r="S23" s="62"/>
      <c r="T23" s="143"/>
      <c r="U23" s="13">
        <f t="shared" si="4"/>
        <v>31</v>
      </c>
      <c r="V23" s="62"/>
      <c r="W23" s="143"/>
      <c r="X23" s="13">
        <f t="shared" si="5"/>
        <v>31</v>
      </c>
      <c r="Y23" s="62"/>
      <c r="Z23" s="143"/>
      <c r="AA23" s="13">
        <f t="shared" si="27"/>
        <v>31</v>
      </c>
      <c r="AB23" s="62"/>
      <c r="AC23" s="143"/>
      <c r="AD23" s="13">
        <f t="shared" si="28"/>
        <v>31</v>
      </c>
      <c r="AE23" s="62"/>
      <c r="AF23" s="143"/>
      <c r="AG23" s="13">
        <f t="shared" si="29"/>
        <v>31</v>
      </c>
      <c r="AH23" s="62"/>
      <c r="AI23" s="143"/>
      <c r="AJ23" s="13">
        <f t="shared" si="30"/>
        <v>31</v>
      </c>
      <c r="AK23" s="62"/>
      <c r="AL23" s="143"/>
      <c r="AM23" s="13">
        <f t="shared" si="6"/>
        <v>31</v>
      </c>
      <c r="AN23" s="62"/>
      <c r="AO23" s="143"/>
      <c r="AP23" s="13">
        <f t="shared" si="7"/>
        <v>31</v>
      </c>
      <c r="AQ23" s="62"/>
      <c r="AR23" s="143"/>
      <c r="AS23" s="13">
        <f t="shared" si="8"/>
        <v>31</v>
      </c>
      <c r="AT23" s="62"/>
      <c r="AU23" s="143"/>
      <c r="AV23" s="13">
        <f t="shared" si="9"/>
        <v>31</v>
      </c>
      <c r="AW23" s="62"/>
      <c r="AX23" s="143"/>
      <c r="AY23" s="13">
        <f t="shared" si="10"/>
        <v>31</v>
      </c>
      <c r="AZ23" s="62"/>
      <c r="BA23" s="143"/>
      <c r="BB23" s="13">
        <f t="shared" si="11"/>
        <v>31</v>
      </c>
      <c r="BC23" s="62"/>
      <c r="BD23" s="143"/>
      <c r="BE23" s="13">
        <f t="shared" si="12"/>
        <v>31</v>
      </c>
      <c r="BF23" s="62"/>
      <c r="BG23" s="143"/>
      <c r="BH23" s="13">
        <f t="shared" si="13"/>
        <v>31</v>
      </c>
      <c r="BI23" s="62"/>
      <c r="BJ23" s="143"/>
      <c r="BK23" s="13">
        <f t="shared" si="14"/>
        <v>31</v>
      </c>
      <c r="BL23" s="62"/>
      <c r="BM23" s="143"/>
      <c r="BN23" s="13">
        <f t="shared" si="15"/>
        <v>31</v>
      </c>
      <c r="BO23" s="62"/>
      <c r="BP23" s="143"/>
      <c r="BQ23" s="13">
        <f t="shared" si="16"/>
        <v>31</v>
      </c>
      <c r="BR23" s="62"/>
      <c r="BS23" s="143"/>
      <c r="BT23" s="13">
        <f t="shared" si="17"/>
        <v>31</v>
      </c>
      <c r="BU23" s="62"/>
      <c r="BV23" s="143"/>
      <c r="BW23" s="13">
        <f t="shared" si="18"/>
        <v>31</v>
      </c>
      <c r="BX23" s="62"/>
      <c r="BY23" s="143"/>
      <c r="BZ23" s="13">
        <f t="shared" si="19"/>
        <v>31</v>
      </c>
      <c r="CA23" s="62"/>
      <c r="CB23" s="143"/>
      <c r="CC23" s="13">
        <f t="shared" si="20"/>
        <v>31</v>
      </c>
      <c r="CD23" s="62"/>
      <c r="CE23" s="143"/>
      <c r="CF23" s="13">
        <f t="shared" si="21"/>
        <v>31</v>
      </c>
      <c r="CG23" s="62"/>
      <c r="CH23" s="143"/>
      <c r="CI23" s="13">
        <f t="shared" si="31"/>
        <v>31</v>
      </c>
      <c r="CJ23" s="62"/>
      <c r="CK23" s="143"/>
      <c r="CL23" s="13">
        <f t="shared" si="32"/>
        <v>31</v>
      </c>
      <c r="CM23" s="62"/>
      <c r="CN23" s="143"/>
      <c r="CO23" s="13">
        <f t="shared" si="22"/>
        <v>31</v>
      </c>
      <c r="CP23" s="62"/>
      <c r="CQ23" s="143"/>
      <c r="CR23" s="13">
        <f t="shared" si="33"/>
        <v>31</v>
      </c>
      <c r="CS23" s="62"/>
      <c r="CT23" s="143"/>
      <c r="CU23" s="14">
        <f t="shared" si="23"/>
        <v>31</v>
      </c>
      <c r="CV23" s="5">
        <f t="shared" si="24"/>
        <v>0</v>
      </c>
      <c r="CW23" s="4">
        <f t="shared" si="24"/>
        <v>22</v>
      </c>
      <c r="CX23" s="6">
        <f t="shared" si="25"/>
        <v>31</v>
      </c>
      <c r="CY23" s="162">
        <v>180</v>
      </c>
      <c r="CZ23" s="171">
        <f t="shared" si="26"/>
        <v>5580</v>
      </c>
      <c r="DB23" s="2">
        <f t="shared" si="34"/>
        <v>31</v>
      </c>
      <c r="DC23" s="61"/>
      <c r="DD23" s="143"/>
      <c r="DE23" s="149">
        <f t="shared" si="35"/>
        <v>31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6</v>
      </c>
      <c r="G24" s="62"/>
      <c r="H24" s="143"/>
      <c r="I24" s="13">
        <f t="shared" si="0"/>
        <v>6</v>
      </c>
      <c r="J24" s="62"/>
      <c r="K24" s="143"/>
      <c r="L24" s="13">
        <f t="shared" si="1"/>
        <v>6</v>
      </c>
      <c r="M24" s="62"/>
      <c r="N24" s="143"/>
      <c r="O24" s="13">
        <f t="shared" si="2"/>
        <v>6</v>
      </c>
      <c r="P24" s="62"/>
      <c r="Q24" s="143"/>
      <c r="R24" s="30">
        <f t="shared" si="3"/>
        <v>6</v>
      </c>
      <c r="S24" s="62"/>
      <c r="T24" s="143">
        <f>4</f>
        <v>4</v>
      </c>
      <c r="U24" s="13">
        <f t="shared" si="4"/>
        <v>2</v>
      </c>
      <c r="V24" s="62"/>
      <c r="W24" s="143"/>
      <c r="X24" s="13">
        <f t="shared" si="5"/>
        <v>2</v>
      </c>
      <c r="Y24" s="62"/>
      <c r="Z24" s="143"/>
      <c r="AA24" s="13">
        <f t="shared" si="27"/>
        <v>2</v>
      </c>
      <c r="AB24" s="62"/>
      <c r="AC24" s="143"/>
      <c r="AD24" s="13">
        <f t="shared" si="28"/>
        <v>2</v>
      </c>
      <c r="AE24" s="62"/>
      <c r="AF24" s="143"/>
      <c r="AG24" s="13">
        <f t="shared" si="29"/>
        <v>2</v>
      </c>
      <c r="AH24" s="62"/>
      <c r="AI24" s="143"/>
      <c r="AJ24" s="13">
        <f t="shared" si="30"/>
        <v>2</v>
      </c>
      <c r="AK24" s="62"/>
      <c r="AL24" s="143"/>
      <c r="AM24" s="13">
        <f t="shared" si="6"/>
        <v>2</v>
      </c>
      <c r="AN24" s="62"/>
      <c r="AO24" s="143"/>
      <c r="AP24" s="13">
        <f t="shared" si="7"/>
        <v>2</v>
      </c>
      <c r="AQ24" s="62"/>
      <c r="AR24" s="143"/>
      <c r="AS24" s="13">
        <f t="shared" si="8"/>
        <v>2</v>
      </c>
      <c r="AT24" s="62"/>
      <c r="AU24" s="143"/>
      <c r="AV24" s="13">
        <f t="shared" si="9"/>
        <v>2</v>
      </c>
      <c r="AW24" s="62"/>
      <c r="AX24" s="143"/>
      <c r="AY24" s="13">
        <f t="shared" si="10"/>
        <v>2</v>
      </c>
      <c r="AZ24" s="62"/>
      <c r="BA24" s="143"/>
      <c r="BB24" s="13">
        <f t="shared" si="11"/>
        <v>2</v>
      </c>
      <c r="BC24" s="62"/>
      <c r="BD24" s="143"/>
      <c r="BE24" s="13">
        <f t="shared" si="12"/>
        <v>2</v>
      </c>
      <c r="BF24" s="62"/>
      <c r="BG24" s="143"/>
      <c r="BH24" s="13">
        <f t="shared" si="13"/>
        <v>2</v>
      </c>
      <c r="BI24" s="62"/>
      <c r="BJ24" s="143"/>
      <c r="BK24" s="13">
        <f t="shared" si="14"/>
        <v>2</v>
      </c>
      <c r="BL24" s="62"/>
      <c r="BM24" s="143"/>
      <c r="BN24" s="13">
        <f t="shared" si="15"/>
        <v>2</v>
      </c>
      <c r="BO24" s="62"/>
      <c r="BP24" s="143"/>
      <c r="BQ24" s="13">
        <f t="shared" si="16"/>
        <v>2</v>
      </c>
      <c r="BR24" s="62"/>
      <c r="BS24" s="143"/>
      <c r="BT24" s="13">
        <f t="shared" si="17"/>
        <v>2</v>
      </c>
      <c r="BU24" s="62"/>
      <c r="BV24" s="143"/>
      <c r="BW24" s="13">
        <f t="shared" si="18"/>
        <v>2</v>
      </c>
      <c r="BX24" s="62"/>
      <c r="BY24" s="143"/>
      <c r="BZ24" s="13">
        <f t="shared" si="19"/>
        <v>2</v>
      </c>
      <c r="CA24" s="62"/>
      <c r="CB24" s="143"/>
      <c r="CC24" s="13">
        <f t="shared" si="20"/>
        <v>2</v>
      </c>
      <c r="CD24" s="62"/>
      <c r="CE24" s="143"/>
      <c r="CF24" s="13">
        <f t="shared" si="21"/>
        <v>2</v>
      </c>
      <c r="CG24" s="62"/>
      <c r="CH24" s="143"/>
      <c r="CI24" s="13">
        <f t="shared" si="31"/>
        <v>2</v>
      </c>
      <c r="CJ24" s="62"/>
      <c r="CK24" s="143"/>
      <c r="CL24" s="13">
        <f t="shared" si="32"/>
        <v>2</v>
      </c>
      <c r="CM24" s="62"/>
      <c r="CN24" s="143"/>
      <c r="CO24" s="13">
        <f t="shared" si="22"/>
        <v>2</v>
      </c>
      <c r="CP24" s="62"/>
      <c r="CQ24" s="143"/>
      <c r="CR24" s="13">
        <f t="shared" si="33"/>
        <v>2</v>
      </c>
      <c r="CS24" s="62"/>
      <c r="CT24" s="143"/>
      <c r="CU24" s="14">
        <f t="shared" si="23"/>
        <v>2</v>
      </c>
      <c r="CV24" s="5">
        <f t="shared" si="24"/>
        <v>0</v>
      </c>
      <c r="CW24" s="4">
        <f t="shared" si="24"/>
        <v>4</v>
      </c>
      <c r="CX24" s="6">
        <f t="shared" si="25"/>
        <v>2</v>
      </c>
      <c r="CY24" s="162">
        <v>67</v>
      </c>
      <c r="CZ24" s="171">
        <f t="shared" si="26"/>
        <v>134</v>
      </c>
      <c r="DB24" s="2">
        <f t="shared" si="34"/>
        <v>2</v>
      </c>
      <c r="DC24" s="61"/>
      <c r="DD24" s="143"/>
      <c r="DE24" s="149">
        <f t="shared" si="35"/>
        <v>2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14.5</v>
      </c>
      <c r="G25" s="62"/>
      <c r="H25" s="143"/>
      <c r="I25" s="13">
        <f t="shared" si="0"/>
        <v>14.5</v>
      </c>
      <c r="J25" s="62"/>
      <c r="K25" s="143"/>
      <c r="L25" s="13">
        <f t="shared" si="1"/>
        <v>14.5</v>
      </c>
      <c r="M25" s="62"/>
      <c r="N25" s="143">
        <v>5</v>
      </c>
      <c r="O25" s="13">
        <f t="shared" si="2"/>
        <v>9.5</v>
      </c>
      <c r="P25" s="62"/>
      <c r="Q25" s="143"/>
      <c r="R25" s="30">
        <f t="shared" si="3"/>
        <v>9.5</v>
      </c>
      <c r="S25" s="62"/>
      <c r="T25" s="143">
        <f>2+1+1+2+1+1.5</f>
        <v>8.5</v>
      </c>
      <c r="U25" s="13">
        <f t="shared" si="4"/>
        <v>1</v>
      </c>
      <c r="V25" s="62"/>
      <c r="W25" s="143"/>
      <c r="X25" s="13">
        <f t="shared" si="5"/>
        <v>1</v>
      </c>
      <c r="Y25" s="62"/>
      <c r="Z25" s="143"/>
      <c r="AA25" s="13">
        <f t="shared" si="27"/>
        <v>1</v>
      </c>
      <c r="AB25" s="62"/>
      <c r="AC25" s="143"/>
      <c r="AD25" s="13">
        <f t="shared" si="28"/>
        <v>1</v>
      </c>
      <c r="AE25" s="62"/>
      <c r="AF25" s="143"/>
      <c r="AG25" s="13">
        <f t="shared" si="29"/>
        <v>1</v>
      </c>
      <c r="AH25" s="62"/>
      <c r="AI25" s="143"/>
      <c r="AJ25" s="13">
        <f t="shared" si="30"/>
        <v>1</v>
      </c>
      <c r="AK25" s="62"/>
      <c r="AL25" s="143"/>
      <c r="AM25" s="13">
        <f t="shared" si="6"/>
        <v>1</v>
      </c>
      <c r="AN25" s="62"/>
      <c r="AO25" s="143"/>
      <c r="AP25" s="13">
        <f t="shared" si="7"/>
        <v>1</v>
      </c>
      <c r="AQ25" s="62"/>
      <c r="AR25" s="143"/>
      <c r="AS25" s="13">
        <f t="shared" si="8"/>
        <v>1</v>
      </c>
      <c r="AT25" s="62"/>
      <c r="AU25" s="143"/>
      <c r="AV25" s="13">
        <f t="shared" si="9"/>
        <v>1</v>
      </c>
      <c r="AW25" s="62"/>
      <c r="AX25" s="143"/>
      <c r="AY25" s="13">
        <f t="shared" si="10"/>
        <v>1</v>
      </c>
      <c r="AZ25" s="62"/>
      <c r="BA25" s="143"/>
      <c r="BB25" s="13">
        <f t="shared" si="11"/>
        <v>1</v>
      </c>
      <c r="BC25" s="62"/>
      <c r="BD25" s="143"/>
      <c r="BE25" s="13">
        <f t="shared" si="12"/>
        <v>1</v>
      </c>
      <c r="BF25" s="62"/>
      <c r="BG25" s="143"/>
      <c r="BH25" s="13">
        <f t="shared" si="13"/>
        <v>1</v>
      </c>
      <c r="BI25" s="62"/>
      <c r="BJ25" s="143"/>
      <c r="BK25" s="13">
        <f t="shared" si="14"/>
        <v>1</v>
      </c>
      <c r="BL25" s="62"/>
      <c r="BM25" s="143"/>
      <c r="BN25" s="13">
        <f t="shared" si="15"/>
        <v>1</v>
      </c>
      <c r="BO25" s="62"/>
      <c r="BP25" s="143"/>
      <c r="BQ25" s="13">
        <f t="shared" si="16"/>
        <v>1</v>
      </c>
      <c r="BR25" s="62"/>
      <c r="BS25" s="143"/>
      <c r="BT25" s="13">
        <f t="shared" si="17"/>
        <v>1</v>
      </c>
      <c r="BU25" s="62"/>
      <c r="BV25" s="143"/>
      <c r="BW25" s="13">
        <f t="shared" si="18"/>
        <v>1</v>
      </c>
      <c r="BX25" s="62"/>
      <c r="BY25" s="143"/>
      <c r="BZ25" s="13">
        <f t="shared" si="19"/>
        <v>1</v>
      </c>
      <c r="CA25" s="62"/>
      <c r="CB25" s="143"/>
      <c r="CC25" s="13">
        <f t="shared" si="20"/>
        <v>1</v>
      </c>
      <c r="CD25" s="62"/>
      <c r="CE25" s="143"/>
      <c r="CF25" s="13">
        <f t="shared" si="21"/>
        <v>1</v>
      </c>
      <c r="CG25" s="62"/>
      <c r="CH25" s="143"/>
      <c r="CI25" s="13">
        <f t="shared" si="31"/>
        <v>1</v>
      </c>
      <c r="CJ25" s="62"/>
      <c r="CK25" s="143"/>
      <c r="CL25" s="13">
        <f t="shared" si="32"/>
        <v>1</v>
      </c>
      <c r="CM25" s="62"/>
      <c r="CN25" s="143"/>
      <c r="CO25" s="13">
        <f t="shared" si="22"/>
        <v>1</v>
      </c>
      <c r="CP25" s="62"/>
      <c r="CQ25" s="143"/>
      <c r="CR25" s="13">
        <f t="shared" si="33"/>
        <v>1</v>
      </c>
      <c r="CS25" s="62"/>
      <c r="CT25" s="143"/>
      <c r="CU25" s="14">
        <f t="shared" si="23"/>
        <v>1</v>
      </c>
      <c r="CV25" s="5">
        <f t="shared" si="24"/>
        <v>0</v>
      </c>
      <c r="CW25" s="4">
        <f t="shared" si="24"/>
        <v>13.5</v>
      </c>
      <c r="CX25" s="6">
        <f t="shared" si="25"/>
        <v>1</v>
      </c>
      <c r="CY25" s="162">
        <v>140</v>
      </c>
      <c r="CZ25" s="171">
        <f t="shared" si="26"/>
        <v>140</v>
      </c>
      <c r="DB25" s="2">
        <f t="shared" si="34"/>
        <v>1</v>
      </c>
      <c r="DC25" s="61"/>
      <c r="DD25" s="143"/>
      <c r="DE25" s="149">
        <f t="shared" si="35"/>
        <v>1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23</v>
      </c>
      <c r="G26" s="62"/>
      <c r="H26" s="143"/>
      <c r="I26" s="13">
        <f t="shared" si="0"/>
        <v>23</v>
      </c>
      <c r="J26" s="62"/>
      <c r="K26" s="143"/>
      <c r="L26" s="13">
        <f t="shared" si="1"/>
        <v>23</v>
      </c>
      <c r="M26" s="62"/>
      <c r="N26" s="143">
        <v>13</v>
      </c>
      <c r="O26" s="13">
        <f t="shared" si="2"/>
        <v>10</v>
      </c>
      <c r="P26" s="62"/>
      <c r="Q26" s="143"/>
      <c r="R26" s="30">
        <f t="shared" si="3"/>
        <v>10</v>
      </c>
      <c r="S26" s="62"/>
      <c r="T26" s="143"/>
      <c r="U26" s="13">
        <f t="shared" si="4"/>
        <v>10</v>
      </c>
      <c r="V26" s="62"/>
      <c r="W26" s="143"/>
      <c r="X26" s="13">
        <f t="shared" si="5"/>
        <v>10</v>
      </c>
      <c r="Y26" s="62"/>
      <c r="Z26" s="143"/>
      <c r="AA26" s="13">
        <f t="shared" si="27"/>
        <v>10</v>
      </c>
      <c r="AB26" s="62"/>
      <c r="AC26" s="143"/>
      <c r="AD26" s="13">
        <f t="shared" si="28"/>
        <v>10</v>
      </c>
      <c r="AE26" s="62"/>
      <c r="AF26" s="143"/>
      <c r="AG26" s="13">
        <f t="shared" si="29"/>
        <v>10</v>
      </c>
      <c r="AH26" s="62"/>
      <c r="AI26" s="143"/>
      <c r="AJ26" s="13">
        <f t="shared" si="30"/>
        <v>10</v>
      </c>
      <c r="AK26" s="62"/>
      <c r="AL26" s="143"/>
      <c r="AM26" s="13">
        <f t="shared" si="6"/>
        <v>10</v>
      </c>
      <c r="AN26" s="62"/>
      <c r="AO26" s="143"/>
      <c r="AP26" s="13">
        <f t="shared" si="7"/>
        <v>10</v>
      </c>
      <c r="AQ26" s="62"/>
      <c r="AR26" s="143"/>
      <c r="AS26" s="13">
        <f t="shared" si="8"/>
        <v>10</v>
      </c>
      <c r="AT26" s="62"/>
      <c r="AU26" s="143"/>
      <c r="AV26" s="13">
        <f t="shared" si="9"/>
        <v>10</v>
      </c>
      <c r="AW26" s="62"/>
      <c r="AX26" s="143"/>
      <c r="AY26" s="13">
        <f t="shared" si="10"/>
        <v>10</v>
      </c>
      <c r="AZ26" s="62"/>
      <c r="BA26" s="143"/>
      <c r="BB26" s="13">
        <f t="shared" si="11"/>
        <v>10</v>
      </c>
      <c r="BC26" s="62"/>
      <c r="BD26" s="143"/>
      <c r="BE26" s="13">
        <f t="shared" si="12"/>
        <v>10</v>
      </c>
      <c r="BF26" s="62"/>
      <c r="BG26" s="143"/>
      <c r="BH26" s="13">
        <f t="shared" si="13"/>
        <v>10</v>
      </c>
      <c r="BI26" s="62"/>
      <c r="BJ26" s="143"/>
      <c r="BK26" s="13">
        <f t="shared" si="14"/>
        <v>10</v>
      </c>
      <c r="BL26" s="62"/>
      <c r="BM26" s="143"/>
      <c r="BN26" s="13">
        <f t="shared" si="15"/>
        <v>10</v>
      </c>
      <c r="BO26" s="62"/>
      <c r="BP26" s="143"/>
      <c r="BQ26" s="13">
        <f t="shared" si="16"/>
        <v>10</v>
      </c>
      <c r="BR26" s="62"/>
      <c r="BS26" s="143"/>
      <c r="BT26" s="13">
        <f t="shared" si="17"/>
        <v>10</v>
      </c>
      <c r="BU26" s="62"/>
      <c r="BV26" s="143"/>
      <c r="BW26" s="13">
        <f t="shared" si="18"/>
        <v>10</v>
      </c>
      <c r="BX26" s="62"/>
      <c r="BY26" s="143"/>
      <c r="BZ26" s="13">
        <f t="shared" si="19"/>
        <v>10</v>
      </c>
      <c r="CA26" s="62"/>
      <c r="CB26" s="143"/>
      <c r="CC26" s="13">
        <f t="shared" si="20"/>
        <v>10</v>
      </c>
      <c r="CD26" s="62"/>
      <c r="CE26" s="143"/>
      <c r="CF26" s="13">
        <f t="shared" si="21"/>
        <v>10</v>
      </c>
      <c r="CG26" s="62"/>
      <c r="CH26" s="143"/>
      <c r="CI26" s="13">
        <f t="shared" si="31"/>
        <v>10</v>
      </c>
      <c r="CJ26" s="62"/>
      <c r="CK26" s="143"/>
      <c r="CL26" s="13">
        <f t="shared" si="32"/>
        <v>10</v>
      </c>
      <c r="CM26" s="62"/>
      <c r="CN26" s="143"/>
      <c r="CO26" s="13">
        <f t="shared" si="22"/>
        <v>10</v>
      </c>
      <c r="CP26" s="62"/>
      <c r="CQ26" s="143"/>
      <c r="CR26" s="13">
        <f t="shared" si="33"/>
        <v>10</v>
      </c>
      <c r="CS26" s="62"/>
      <c r="CT26" s="143"/>
      <c r="CU26" s="14">
        <f t="shared" si="23"/>
        <v>10</v>
      </c>
      <c r="CV26" s="5">
        <f t="shared" si="24"/>
        <v>0</v>
      </c>
      <c r="CW26" s="4">
        <f t="shared" si="24"/>
        <v>13</v>
      </c>
      <c r="CX26" s="6">
        <f t="shared" si="25"/>
        <v>10</v>
      </c>
      <c r="CY26" s="162">
        <v>3800</v>
      </c>
      <c r="CZ26" s="171">
        <f t="shared" si="26"/>
        <v>38000</v>
      </c>
      <c r="DB26" s="2">
        <f t="shared" si="34"/>
        <v>10</v>
      </c>
      <c r="DC26" s="61"/>
      <c r="DD26" s="143"/>
      <c r="DE26" s="149">
        <f t="shared" si="35"/>
        <v>10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40</v>
      </c>
      <c r="E27" s="34" t="s">
        <v>68</v>
      </c>
      <c r="F27" s="14">
        <v>38.79999999999994</v>
      </c>
      <c r="G27" s="62"/>
      <c r="H27" s="143"/>
      <c r="I27" s="13">
        <f t="shared" si="0"/>
        <v>38.79999999999994</v>
      </c>
      <c r="J27" s="62"/>
      <c r="K27" s="143"/>
      <c r="L27" s="13">
        <f t="shared" si="1"/>
        <v>38.79999999999994</v>
      </c>
      <c r="M27" s="62"/>
      <c r="N27" s="143">
        <v>2</v>
      </c>
      <c r="O27" s="13">
        <f t="shared" si="2"/>
        <v>36.79999999999994</v>
      </c>
      <c r="P27" s="62"/>
      <c r="Q27" s="143"/>
      <c r="R27" s="30">
        <f t="shared" si="3"/>
        <v>36.79999999999994</v>
      </c>
      <c r="S27" s="62"/>
      <c r="T27" s="143">
        <f>2.1+1.6+2.8+1.2+1.5+2.2+2.1+1.1+1.2+4</f>
        <v>19.799999999999997</v>
      </c>
      <c r="U27" s="13">
        <f t="shared" si="4"/>
        <v>16.999999999999943</v>
      </c>
      <c r="V27" s="62"/>
      <c r="W27" s="143"/>
      <c r="X27" s="13">
        <f t="shared" si="5"/>
        <v>16.999999999999943</v>
      </c>
      <c r="Y27" s="62"/>
      <c r="Z27" s="143"/>
      <c r="AA27" s="13">
        <f t="shared" si="27"/>
        <v>16.999999999999943</v>
      </c>
      <c r="AB27" s="62"/>
      <c r="AC27" s="143"/>
      <c r="AD27" s="13">
        <f t="shared" si="28"/>
        <v>16.999999999999943</v>
      </c>
      <c r="AE27" s="62"/>
      <c r="AF27" s="143"/>
      <c r="AG27" s="13">
        <f t="shared" si="29"/>
        <v>16.999999999999943</v>
      </c>
      <c r="AH27" s="62"/>
      <c r="AI27" s="143"/>
      <c r="AJ27" s="13">
        <f t="shared" si="30"/>
        <v>16.999999999999943</v>
      </c>
      <c r="AK27" s="62"/>
      <c r="AL27" s="143"/>
      <c r="AM27" s="13">
        <f t="shared" si="6"/>
        <v>16.999999999999943</v>
      </c>
      <c r="AN27" s="62"/>
      <c r="AO27" s="143"/>
      <c r="AP27" s="13">
        <f t="shared" si="7"/>
        <v>16.999999999999943</v>
      </c>
      <c r="AQ27" s="62"/>
      <c r="AR27" s="143"/>
      <c r="AS27" s="13">
        <f t="shared" si="8"/>
        <v>16.999999999999943</v>
      </c>
      <c r="AT27" s="62"/>
      <c r="AU27" s="143"/>
      <c r="AV27" s="13">
        <f t="shared" si="9"/>
        <v>16.999999999999943</v>
      </c>
      <c r="AW27" s="62"/>
      <c r="AX27" s="143"/>
      <c r="AY27" s="13">
        <f t="shared" si="10"/>
        <v>16.999999999999943</v>
      </c>
      <c r="AZ27" s="62"/>
      <c r="BA27" s="143"/>
      <c r="BB27" s="13">
        <f t="shared" si="11"/>
        <v>16.999999999999943</v>
      </c>
      <c r="BC27" s="62"/>
      <c r="BD27" s="143"/>
      <c r="BE27" s="13">
        <f t="shared" si="12"/>
        <v>16.999999999999943</v>
      </c>
      <c r="BF27" s="62"/>
      <c r="BG27" s="143"/>
      <c r="BH27" s="13">
        <f t="shared" si="13"/>
        <v>16.999999999999943</v>
      </c>
      <c r="BI27" s="62"/>
      <c r="BJ27" s="143"/>
      <c r="BK27" s="13">
        <f t="shared" si="14"/>
        <v>16.999999999999943</v>
      </c>
      <c r="BL27" s="62"/>
      <c r="BM27" s="143"/>
      <c r="BN27" s="13">
        <f t="shared" si="15"/>
        <v>16.999999999999943</v>
      </c>
      <c r="BO27" s="62"/>
      <c r="BP27" s="143"/>
      <c r="BQ27" s="13">
        <f t="shared" si="16"/>
        <v>16.999999999999943</v>
      </c>
      <c r="BR27" s="62"/>
      <c r="BS27" s="143"/>
      <c r="BT27" s="13">
        <f t="shared" si="17"/>
        <v>16.999999999999943</v>
      </c>
      <c r="BU27" s="62"/>
      <c r="BV27" s="143"/>
      <c r="BW27" s="13">
        <f t="shared" si="18"/>
        <v>16.999999999999943</v>
      </c>
      <c r="BX27" s="62"/>
      <c r="BY27" s="143"/>
      <c r="BZ27" s="13">
        <f t="shared" si="19"/>
        <v>16.999999999999943</v>
      </c>
      <c r="CA27" s="62"/>
      <c r="CB27" s="143"/>
      <c r="CC27" s="13">
        <f t="shared" si="20"/>
        <v>16.999999999999943</v>
      </c>
      <c r="CD27" s="62"/>
      <c r="CE27" s="143"/>
      <c r="CF27" s="13">
        <f t="shared" si="21"/>
        <v>16.999999999999943</v>
      </c>
      <c r="CG27" s="62"/>
      <c r="CH27" s="143"/>
      <c r="CI27" s="13">
        <f t="shared" si="31"/>
        <v>16.999999999999943</v>
      </c>
      <c r="CJ27" s="62"/>
      <c r="CK27" s="143"/>
      <c r="CL27" s="13">
        <f t="shared" si="32"/>
        <v>16.999999999999943</v>
      </c>
      <c r="CM27" s="62"/>
      <c r="CN27" s="143"/>
      <c r="CO27" s="13">
        <f t="shared" si="22"/>
        <v>16.999999999999943</v>
      </c>
      <c r="CP27" s="62"/>
      <c r="CQ27" s="143"/>
      <c r="CR27" s="13">
        <f t="shared" si="33"/>
        <v>16.999999999999943</v>
      </c>
      <c r="CS27" s="62"/>
      <c r="CT27" s="143"/>
      <c r="CU27" s="14">
        <f t="shared" si="23"/>
        <v>16.999999999999943</v>
      </c>
      <c r="CV27" s="5">
        <f t="shared" si="24"/>
        <v>0</v>
      </c>
      <c r="CW27" s="4">
        <f t="shared" si="24"/>
        <v>21.799999999999997</v>
      </c>
      <c r="CX27" s="6">
        <f t="shared" si="25"/>
        <v>16.999999999999943</v>
      </c>
      <c r="CY27" s="162">
        <v>230</v>
      </c>
      <c r="CZ27" s="171">
        <f t="shared" si="26"/>
        <v>3909.9999999999868</v>
      </c>
      <c r="DB27" s="2">
        <f t="shared" si="34"/>
        <v>16.999999999999943</v>
      </c>
      <c r="DC27" s="61"/>
      <c r="DD27" s="143"/>
      <c r="DE27" s="149">
        <f t="shared" si="35"/>
        <v>16.999999999999943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7.9000000000000021</v>
      </c>
      <c r="G28" s="62"/>
      <c r="H28" s="143"/>
      <c r="I28" s="13">
        <f t="shared" si="0"/>
        <v>7.9000000000000021</v>
      </c>
      <c r="J28" s="62"/>
      <c r="K28" s="143"/>
      <c r="L28" s="13">
        <f t="shared" si="1"/>
        <v>7.9000000000000021</v>
      </c>
      <c r="M28" s="62"/>
      <c r="N28" s="143">
        <v>1</v>
      </c>
      <c r="O28" s="13">
        <f t="shared" si="2"/>
        <v>6.9000000000000021</v>
      </c>
      <c r="P28" s="62"/>
      <c r="Q28" s="143"/>
      <c r="R28" s="30">
        <f t="shared" si="3"/>
        <v>6.9000000000000021</v>
      </c>
      <c r="S28" s="62"/>
      <c r="T28" s="143"/>
      <c r="U28" s="13">
        <f t="shared" si="4"/>
        <v>6.9000000000000021</v>
      </c>
      <c r="V28" s="62"/>
      <c r="W28" s="143"/>
      <c r="X28" s="13">
        <f t="shared" si="5"/>
        <v>6.9000000000000021</v>
      </c>
      <c r="Y28" s="62"/>
      <c r="Z28" s="143"/>
      <c r="AA28" s="13">
        <f t="shared" si="27"/>
        <v>6.9000000000000021</v>
      </c>
      <c r="AB28" s="62"/>
      <c r="AC28" s="143"/>
      <c r="AD28" s="13">
        <f t="shared" si="28"/>
        <v>6.9000000000000021</v>
      </c>
      <c r="AE28" s="62"/>
      <c r="AF28" s="143"/>
      <c r="AG28" s="13">
        <f t="shared" si="29"/>
        <v>6.9000000000000021</v>
      </c>
      <c r="AH28" s="62"/>
      <c r="AI28" s="143"/>
      <c r="AJ28" s="13">
        <f t="shared" si="30"/>
        <v>6.9000000000000021</v>
      </c>
      <c r="AK28" s="62"/>
      <c r="AL28" s="143"/>
      <c r="AM28" s="13">
        <f t="shared" si="6"/>
        <v>6.9000000000000021</v>
      </c>
      <c r="AN28" s="62"/>
      <c r="AO28" s="143"/>
      <c r="AP28" s="13">
        <f t="shared" si="7"/>
        <v>6.9000000000000021</v>
      </c>
      <c r="AQ28" s="62"/>
      <c r="AR28" s="143"/>
      <c r="AS28" s="13">
        <f t="shared" si="8"/>
        <v>6.9000000000000021</v>
      </c>
      <c r="AT28" s="62"/>
      <c r="AU28" s="143"/>
      <c r="AV28" s="13">
        <f t="shared" si="9"/>
        <v>6.9000000000000021</v>
      </c>
      <c r="AW28" s="62"/>
      <c r="AX28" s="143"/>
      <c r="AY28" s="13">
        <f t="shared" si="10"/>
        <v>6.9000000000000021</v>
      </c>
      <c r="AZ28" s="62"/>
      <c r="BA28" s="143"/>
      <c r="BB28" s="13">
        <f t="shared" si="11"/>
        <v>6.9000000000000021</v>
      </c>
      <c r="BC28" s="62"/>
      <c r="BD28" s="143"/>
      <c r="BE28" s="13">
        <f t="shared" si="12"/>
        <v>6.9000000000000021</v>
      </c>
      <c r="BF28" s="62"/>
      <c r="BG28" s="143"/>
      <c r="BH28" s="13">
        <f t="shared" si="13"/>
        <v>6.9000000000000021</v>
      </c>
      <c r="BI28" s="62"/>
      <c r="BJ28" s="143"/>
      <c r="BK28" s="13">
        <f t="shared" si="14"/>
        <v>6.9000000000000021</v>
      </c>
      <c r="BL28" s="62"/>
      <c r="BM28" s="143"/>
      <c r="BN28" s="13">
        <f t="shared" si="15"/>
        <v>6.9000000000000021</v>
      </c>
      <c r="BO28" s="62"/>
      <c r="BP28" s="143"/>
      <c r="BQ28" s="13">
        <f t="shared" si="16"/>
        <v>6.9000000000000021</v>
      </c>
      <c r="BR28" s="62"/>
      <c r="BS28" s="143"/>
      <c r="BT28" s="13">
        <f t="shared" si="17"/>
        <v>6.9000000000000021</v>
      </c>
      <c r="BU28" s="62"/>
      <c r="BV28" s="143"/>
      <c r="BW28" s="13">
        <f t="shared" si="18"/>
        <v>6.9000000000000021</v>
      </c>
      <c r="BX28" s="62"/>
      <c r="BY28" s="143"/>
      <c r="BZ28" s="13">
        <f t="shared" si="19"/>
        <v>6.9000000000000021</v>
      </c>
      <c r="CA28" s="62"/>
      <c r="CB28" s="143"/>
      <c r="CC28" s="13">
        <f t="shared" si="20"/>
        <v>6.9000000000000021</v>
      </c>
      <c r="CD28" s="62"/>
      <c r="CE28" s="143"/>
      <c r="CF28" s="13">
        <f t="shared" si="21"/>
        <v>6.9000000000000021</v>
      </c>
      <c r="CG28" s="62"/>
      <c r="CH28" s="143"/>
      <c r="CI28" s="13">
        <f t="shared" si="31"/>
        <v>6.9000000000000021</v>
      </c>
      <c r="CJ28" s="62"/>
      <c r="CK28" s="143"/>
      <c r="CL28" s="13">
        <f t="shared" si="32"/>
        <v>6.9000000000000021</v>
      </c>
      <c r="CM28" s="62"/>
      <c r="CN28" s="143"/>
      <c r="CO28" s="13">
        <f t="shared" si="22"/>
        <v>6.9000000000000021</v>
      </c>
      <c r="CP28" s="62"/>
      <c r="CQ28" s="143"/>
      <c r="CR28" s="13">
        <f t="shared" si="33"/>
        <v>6.9000000000000021</v>
      </c>
      <c r="CS28" s="62"/>
      <c r="CT28" s="143"/>
      <c r="CU28" s="14">
        <f t="shared" si="23"/>
        <v>6.9000000000000021</v>
      </c>
      <c r="CV28" s="5">
        <f t="shared" si="24"/>
        <v>0</v>
      </c>
      <c r="CW28" s="4">
        <f t="shared" si="24"/>
        <v>1</v>
      </c>
      <c r="CX28" s="6">
        <f t="shared" si="25"/>
        <v>6.9000000000000021</v>
      </c>
      <c r="CY28" s="162">
        <v>85</v>
      </c>
      <c r="CZ28" s="171">
        <f t="shared" si="26"/>
        <v>586.50000000000023</v>
      </c>
      <c r="DB28" s="2">
        <f t="shared" si="34"/>
        <v>6.9000000000000021</v>
      </c>
      <c r="DC28" s="61"/>
      <c r="DD28" s="143"/>
      <c r="DE28" s="149">
        <f t="shared" si="35"/>
        <v>6.9000000000000021</v>
      </c>
    </row>
    <row r="29" spans="1:109" ht="15.75" customHeight="1">
      <c r="A29" s="33"/>
      <c r="B29" s="7" t="s">
        <v>70</v>
      </c>
      <c r="C29" s="105" t="s">
        <v>30</v>
      </c>
      <c r="D29" s="35" t="s">
        <v>315</v>
      </c>
      <c r="E29" s="35" t="s">
        <v>71</v>
      </c>
      <c r="F29" s="14">
        <v>228</v>
      </c>
      <c r="G29" s="62"/>
      <c r="H29" s="143"/>
      <c r="I29" s="13">
        <f t="shared" si="0"/>
        <v>228</v>
      </c>
      <c r="J29" s="62"/>
      <c r="K29" s="143"/>
      <c r="L29" s="13">
        <f t="shared" si="1"/>
        <v>228</v>
      </c>
      <c r="M29" s="62"/>
      <c r="N29" s="143">
        <f>-25+168</f>
        <v>143</v>
      </c>
      <c r="O29" s="13">
        <f t="shared" si="2"/>
        <v>85</v>
      </c>
      <c r="P29" s="62"/>
      <c r="Q29" s="143"/>
      <c r="R29" s="30">
        <f t="shared" si="3"/>
        <v>85</v>
      </c>
      <c r="S29" s="62"/>
      <c r="T29" s="143">
        <f>8</f>
        <v>8</v>
      </c>
      <c r="U29" s="13">
        <f t="shared" si="4"/>
        <v>77</v>
      </c>
      <c r="V29" s="62"/>
      <c r="W29" s="143"/>
      <c r="X29" s="13">
        <f>U29+V29-W29</f>
        <v>77</v>
      </c>
      <c r="Y29" s="62"/>
      <c r="Z29" s="143"/>
      <c r="AA29" s="13">
        <f t="shared" si="27"/>
        <v>77</v>
      </c>
      <c r="AB29" s="62"/>
      <c r="AC29" s="143"/>
      <c r="AD29" s="13">
        <f t="shared" si="28"/>
        <v>77</v>
      </c>
      <c r="AE29" s="62"/>
      <c r="AF29" s="143"/>
      <c r="AG29" s="13">
        <f>AD29+AE29-AF29</f>
        <v>77</v>
      </c>
      <c r="AH29" s="62"/>
      <c r="AI29" s="143"/>
      <c r="AJ29" s="13">
        <f t="shared" si="30"/>
        <v>77</v>
      </c>
      <c r="AK29" s="62"/>
      <c r="AL29" s="143"/>
      <c r="AM29" s="13">
        <f t="shared" si="6"/>
        <v>77</v>
      </c>
      <c r="AN29" s="62"/>
      <c r="AO29" s="143"/>
      <c r="AP29" s="13">
        <f t="shared" si="7"/>
        <v>77</v>
      </c>
      <c r="AQ29" s="62"/>
      <c r="AR29" s="143"/>
      <c r="AS29" s="13">
        <f t="shared" si="8"/>
        <v>77</v>
      </c>
      <c r="AT29" s="62"/>
      <c r="AU29" s="143"/>
      <c r="AV29" s="13">
        <f t="shared" si="9"/>
        <v>77</v>
      </c>
      <c r="AW29" s="62"/>
      <c r="AX29" s="143"/>
      <c r="AY29" s="13">
        <f t="shared" si="10"/>
        <v>77</v>
      </c>
      <c r="AZ29" s="62"/>
      <c r="BA29" s="143"/>
      <c r="BB29" s="13">
        <f t="shared" si="11"/>
        <v>77</v>
      </c>
      <c r="BC29" s="62"/>
      <c r="BD29" s="143"/>
      <c r="BE29" s="13">
        <f t="shared" si="12"/>
        <v>77</v>
      </c>
      <c r="BF29" s="62"/>
      <c r="BG29" s="143"/>
      <c r="BH29" s="13">
        <f t="shared" si="13"/>
        <v>77</v>
      </c>
      <c r="BI29" s="62"/>
      <c r="BJ29" s="143"/>
      <c r="BK29" s="13">
        <f t="shared" si="14"/>
        <v>77</v>
      </c>
      <c r="BL29" s="62"/>
      <c r="BM29" s="143"/>
      <c r="BN29" s="13">
        <f t="shared" si="15"/>
        <v>77</v>
      </c>
      <c r="BO29" s="62"/>
      <c r="BP29" s="143"/>
      <c r="BQ29" s="13">
        <f t="shared" si="16"/>
        <v>77</v>
      </c>
      <c r="BR29" s="62"/>
      <c r="BS29" s="143"/>
      <c r="BT29" s="13">
        <f t="shared" si="17"/>
        <v>77</v>
      </c>
      <c r="BU29" s="62"/>
      <c r="BV29" s="143"/>
      <c r="BW29" s="13">
        <f t="shared" si="18"/>
        <v>77</v>
      </c>
      <c r="BX29" s="62"/>
      <c r="BY29" s="143"/>
      <c r="BZ29" s="13">
        <f t="shared" si="19"/>
        <v>77</v>
      </c>
      <c r="CA29" s="62"/>
      <c r="CB29" s="143"/>
      <c r="CC29" s="13">
        <f t="shared" si="20"/>
        <v>77</v>
      </c>
      <c r="CD29" s="62"/>
      <c r="CE29" s="143"/>
      <c r="CF29" s="13">
        <f t="shared" si="21"/>
        <v>77</v>
      </c>
      <c r="CG29" s="62"/>
      <c r="CH29" s="143"/>
      <c r="CI29" s="13">
        <f t="shared" si="31"/>
        <v>77</v>
      </c>
      <c r="CJ29" s="62"/>
      <c r="CK29" s="143"/>
      <c r="CL29" s="13">
        <f t="shared" si="32"/>
        <v>77</v>
      </c>
      <c r="CM29" s="62"/>
      <c r="CN29" s="143"/>
      <c r="CO29" s="13">
        <f t="shared" si="22"/>
        <v>77</v>
      </c>
      <c r="CP29" s="62"/>
      <c r="CQ29" s="143"/>
      <c r="CR29" s="13">
        <f t="shared" si="33"/>
        <v>77</v>
      </c>
      <c r="CS29" s="62"/>
      <c r="CT29" s="143"/>
      <c r="CU29" s="14">
        <f t="shared" si="23"/>
        <v>77</v>
      </c>
      <c r="CV29" s="5">
        <f t="shared" si="24"/>
        <v>0</v>
      </c>
      <c r="CW29" s="4">
        <f t="shared" si="24"/>
        <v>151</v>
      </c>
      <c r="CX29" s="6">
        <f t="shared" si="25"/>
        <v>77</v>
      </c>
      <c r="CY29" s="162">
        <v>135</v>
      </c>
      <c r="CZ29" s="171">
        <f t="shared" si="26"/>
        <v>10395</v>
      </c>
      <c r="DB29" s="2">
        <f t="shared" si="34"/>
        <v>77</v>
      </c>
      <c r="DC29" s="61"/>
      <c r="DD29" s="143"/>
      <c r="DE29" s="149">
        <f t="shared" si="35"/>
        <v>77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0</v>
      </c>
      <c r="G32" s="62"/>
      <c r="H32" s="143"/>
      <c r="I32" s="13">
        <f t="shared" si="0"/>
        <v>0</v>
      </c>
      <c r="J32" s="62"/>
      <c r="K32" s="143"/>
      <c r="L32" s="13">
        <f t="shared" si="1"/>
        <v>0</v>
      </c>
      <c r="M32" s="62"/>
      <c r="N32" s="143"/>
      <c r="O32" s="13">
        <f t="shared" si="2"/>
        <v>0</v>
      </c>
      <c r="P32" s="62"/>
      <c r="Q32" s="143"/>
      <c r="R32" s="30">
        <f t="shared" si="3"/>
        <v>0</v>
      </c>
      <c r="S32" s="62"/>
      <c r="T32" s="143"/>
      <c r="U32" s="13">
        <f t="shared" si="4"/>
        <v>0</v>
      </c>
      <c r="V32" s="62"/>
      <c r="W32" s="143"/>
      <c r="X32" s="13">
        <f t="shared" si="5"/>
        <v>0</v>
      </c>
      <c r="Y32" s="62"/>
      <c r="Z32" s="143"/>
      <c r="AA32" s="13">
        <f t="shared" si="27"/>
        <v>0</v>
      </c>
      <c r="AB32" s="62"/>
      <c r="AC32" s="143"/>
      <c r="AD32" s="13">
        <f t="shared" si="28"/>
        <v>0</v>
      </c>
      <c r="AE32" s="62"/>
      <c r="AF32" s="143"/>
      <c r="AG32" s="13">
        <f t="shared" si="29"/>
        <v>0</v>
      </c>
      <c r="AH32" s="62"/>
      <c r="AI32" s="143"/>
      <c r="AJ32" s="13">
        <f t="shared" si="30"/>
        <v>0</v>
      </c>
      <c r="AK32" s="62"/>
      <c r="AL32" s="143"/>
      <c r="AM32" s="13">
        <f t="shared" si="6"/>
        <v>0</v>
      </c>
      <c r="AN32" s="62"/>
      <c r="AO32" s="143"/>
      <c r="AP32" s="13">
        <f t="shared" si="7"/>
        <v>0</v>
      </c>
      <c r="AQ32" s="62"/>
      <c r="AR32" s="143"/>
      <c r="AS32" s="13">
        <f t="shared" si="8"/>
        <v>0</v>
      </c>
      <c r="AT32" s="62"/>
      <c r="AU32" s="143"/>
      <c r="AV32" s="13">
        <f t="shared" si="9"/>
        <v>0</v>
      </c>
      <c r="AW32" s="62"/>
      <c r="AX32" s="143"/>
      <c r="AY32" s="13">
        <f t="shared" si="10"/>
        <v>0</v>
      </c>
      <c r="AZ32" s="62"/>
      <c r="BA32" s="143"/>
      <c r="BB32" s="13">
        <f t="shared" si="11"/>
        <v>0</v>
      </c>
      <c r="BC32" s="62"/>
      <c r="BD32" s="143"/>
      <c r="BE32" s="13">
        <f t="shared" si="12"/>
        <v>0</v>
      </c>
      <c r="BF32" s="62"/>
      <c r="BG32" s="143"/>
      <c r="BH32" s="13">
        <f t="shared" si="13"/>
        <v>0</v>
      </c>
      <c r="BI32" s="62"/>
      <c r="BJ32" s="143"/>
      <c r="BK32" s="13">
        <f t="shared" si="14"/>
        <v>0</v>
      </c>
      <c r="BL32" s="62"/>
      <c r="BM32" s="143"/>
      <c r="BN32" s="13">
        <f t="shared" si="15"/>
        <v>0</v>
      </c>
      <c r="BO32" s="62"/>
      <c r="BP32" s="143"/>
      <c r="BQ32" s="13">
        <f t="shared" si="16"/>
        <v>0</v>
      </c>
      <c r="BR32" s="62"/>
      <c r="BS32" s="143"/>
      <c r="BT32" s="13">
        <f t="shared" si="17"/>
        <v>0</v>
      </c>
      <c r="BU32" s="62"/>
      <c r="BV32" s="143"/>
      <c r="BW32" s="13">
        <f t="shared" si="18"/>
        <v>0</v>
      </c>
      <c r="BX32" s="62"/>
      <c r="BY32" s="143"/>
      <c r="BZ32" s="13">
        <f t="shared" si="19"/>
        <v>0</v>
      </c>
      <c r="CA32" s="62"/>
      <c r="CB32" s="143"/>
      <c r="CC32" s="13">
        <f t="shared" si="20"/>
        <v>0</v>
      </c>
      <c r="CD32" s="62"/>
      <c r="CE32" s="143"/>
      <c r="CF32" s="13">
        <f t="shared" si="21"/>
        <v>0</v>
      </c>
      <c r="CG32" s="62"/>
      <c r="CH32" s="143"/>
      <c r="CI32" s="13">
        <f t="shared" si="31"/>
        <v>0</v>
      </c>
      <c r="CJ32" s="62"/>
      <c r="CK32" s="143"/>
      <c r="CL32" s="13">
        <f t="shared" si="32"/>
        <v>0</v>
      </c>
      <c r="CM32" s="62"/>
      <c r="CN32" s="143"/>
      <c r="CO32" s="13">
        <f t="shared" si="22"/>
        <v>0</v>
      </c>
      <c r="CP32" s="62"/>
      <c r="CQ32" s="143"/>
      <c r="CR32" s="13">
        <f t="shared" si="33"/>
        <v>0</v>
      </c>
      <c r="CS32" s="62"/>
      <c r="CT32" s="143"/>
      <c r="CU32" s="14">
        <f t="shared" si="23"/>
        <v>0</v>
      </c>
      <c r="CV32" s="5">
        <f t="shared" si="24"/>
        <v>0</v>
      </c>
      <c r="CW32" s="4">
        <f t="shared" si="24"/>
        <v>0</v>
      </c>
      <c r="CX32" s="6">
        <f t="shared" si="25"/>
        <v>0</v>
      </c>
      <c r="CY32" s="162">
        <v>0</v>
      </c>
      <c r="CZ32" s="171">
        <f t="shared" si="26"/>
        <v>0</v>
      </c>
      <c r="DB32" s="2">
        <f t="shared" si="34"/>
        <v>0</v>
      </c>
      <c r="DC32" s="61"/>
      <c r="DD32" s="143"/>
      <c r="DE32" s="149">
        <f t="shared" si="35"/>
        <v>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317</v>
      </c>
      <c r="E36" s="35" t="s">
        <v>51</v>
      </c>
      <c r="F36" s="14">
        <v>20</v>
      </c>
      <c r="G36" s="62"/>
      <c r="H36" s="143"/>
      <c r="I36" s="13">
        <f t="shared" si="0"/>
        <v>20</v>
      </c>
      <c r="J36" s="62"/>
      <c r="K36" s="143"/>
      <c r="L36" s="13">
        <f t="shared" si="1"/>
        <v>20</v>
      </c>
      <c r="M36" s="62">
        <f>10</f>
        <v>10</v>
      </c>
      <c r="N36" s="143">
        <f>1+17</f>
        <v>18</v>
      </c>
      <c r="O36" s="13">
        <f t="shared" si="2"/>
        <v>12</v>
      </c>
      <c r="P36" s="62"/>
      <c r="Q36" s="143"/>
      <c r="R36" s="30">
        <f t="shared" si="3"/>
        <v>12</v>
      </c>
      <c r="S36" s="62"/>
      <c r="T36" s="143"/>
      <c r="U36" s="13">
        <f t="shared" si="4"/>
        <v>12</v>
      </c>
      <c r="V36" s="62"/>
      <c r="W36" s="143"/>
      <c r="X36" s="13">
        <f t="shared" si="5"/>
        <v>12</v>
      </c>
      <c r="Y36" s="62"/>
      <c r="Z36" s="143"/>
      <c r="AA36" s="13">
        <f t="shared" si="27"/>
        <v>12</v>
      </c>
      <c r="AB36" s="62"/>
      <c r="AC36" s="143"/>
      <c r="AD36" s="13">
        <f t="shared" si="28"/>
        <v>12</v>
      </c>
      <c r="AE36" s="62"/>
      <c r="AF36" s="143"/>
      <c r="AG36" s="13">
        <f t="shared" si="29"/>
        <v>12</v>
      </c>
      <c r="AH36" s="62"/>
      <c r="AI36" s="143"/>
      <c r="AJ36" s="13">
        <f t="shared" si="30"/>
        <v>12</v>
      </c>
      <c r="AK36" s="62"/>
      <c r="AL36" s="143"/>
      <c r="AM36" s="13">
        <f t="shared" si="6"/>
        <v>12</v>
      </c>
      <c r="AN36" s="62"/>
      <c r="AO36" s="143"/>
      <c r="AP36" s="13">
        <f t="shared" si="7"/>
        <v>12</v>
      </c>
      <c r="AQ36" s="62"/>
      <c r="AR36" s="143"/>
      <c r="AS36" s="13">
        <f t="shared" si="8"/>
        <v>12</v>
      </c>
      <c r="AT36" s="62"/>
      <c r="AU36" s="143"/>
      <c r="AV36" s="13">
        <f t="shared" si="9"/>
        <v>12</v>
      </c>
      <c r="AW36" s="62"/>
      <c r="AX36" s="143"/>
      <c r="AY36" s="13">
        <f t="shared" si="10"/>
        <v>12</v>
      </c>
      <c r="AZ36" s="62"/>
      <c r="BA36" s="143"/>
      <c r="BB36" s="13">
        <f t="shared" si="11"/>
        <v>12</v>
      </c>
      <c r="BC36" s="62"/>
      <c r="BD36" s="143"/>
      <c r="BE36" s="13">
        <f t="shared" si="12"/>
        <v>12</v>
      </c>
      <c r="BF36" s="62"/>
      <c r="BG36" s="143"/>
      <c r="BH36" s="13">
        <f t="shared" si="13"/>
        <v>12</v>
      </c>
      <c r="BI36" s="62"/>
      <c r="BJ36" s="143"/>
      <c r="BK36" s="13">
        <f t="shared" si="14"/>
        <v>12</v>
      </c>
      <c r="BL36" s="62"/>
      <c r="BM36" s="143"/>
      <c r="BN36" s="13">
        <f t="shared" si="15"/>
        <v>12</v>
      </c>
      <c r="BO36" s="62"/>
      <c r="BP36" s="143"/>
      <c r="BQ36" s="13">
        <f t="shared" si="16"/>
        <v>12</v>
      </c>
      <c r="BR36" s="62"/>
      <c r="BS36" s="143"/>
      <c r="BT36" s="13">
        <f t="shared" si="17"/>
        <v>12</v>
      </c>
      <c r="BU36" s="62"/>
      <c r="BV36" s="143"/>
      <c r="BW36" s="13">
        <f t="shared" si="18"/>
        <v>12</v>
      </c>
      <c r="BX36" s="62"/>
      <c r="BY36" s="143"/>
      <c r="BZ36" s="13">
        <f t="shared" si="19"/>
        <v>12</v>
      </c>
      <c r="CA36" s="62"/>
      <c r="CB36" s="143"/>
      <c r="CC36" s="13">
        <f t="shared" si="20"/>
        <v>12</v>
      </c>
      <c r="CD36" s="62"/>
      <c r="CE36" s="143"/>
      <c r="CF36" s="13">
        <f t="shared" si="21"/>
        <v>12</v>
      </c>
      <c r="CG36" s="62"/>
      <c r="CH36" s="143"/>
      <c r="CI36" s="13">
        <f t="shared" si="31"/>
        <v>12</v>
      </c>
      <c r="CJ36" s="62"/>
      <c r="CK36" s="143"/>
      <c r="CL36" s="13">
        <f t="shared" si="32"/>
        <v>12</v>
      </c>
      <c r="CM36" s="62"/>
      <c r="CN36" s="143"/>
      <c r="CO36" s="13">
        <f t="shared" si="22"/>
        <v>12</v>
      </c>
      <c r="CP36" s="62"/>
      <c r="CQ36" s="143"/>
      <c r="CR36" s="13">
        <f t="shared" si="33"/>
        <v>12</v>
      </c>
      <c r="CS36" s="62"/>
      <c r="CT36" s="143"/>
      <c r="CU36" s="14">
        <f t="shared" si="23"/>
        <v>12</v>
      </c>
      <c r="CV36" s="5">
        <f t="shared" si="24"/>
        <v>10</v>
      </c>
      <c r="CW36" s="4">
        <f t="shared" si="24"/>
        <v>18</v>
      </c>
      <c r="CX36" s="6">
        <f t="shared" si="25"/>
        <v>12</v>
      </c>
      <c r="CY36" s="162">
        <v>2000</v>
      </c>
      <c r="CZ36" s="171">
        <f t="shared" si="26"/>
        <v>24000</v>
      </c>
      <c r="DB36" s="2">
        <f t="shared" si="34"/>
        <v>12</v>
      </c>
      <c r="DC36" s="61"/>
      <c r="DD36" s="143"/>
      <c r="DE36" s="149">
        <f t="shared" si="35"/>
        <v>12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/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 t="s">
        <v>320</v>
      </c>
      <c r="E39" s="34" t="s">
        <v>83</v>
      </c>
      <c r="F39" s="14">
        <v>50</v>
      </c>
      <c r="G39" s="62"/>
      <c r="H39" s="143"/>
      <c r="I39" s="13">
        <f t="shared" si="0"/>
        <v>50</v>
      </c>
      <c r="J39" s="62"/>
      <c r="K39" s="143"/>
      <c r="L39" s="13">
        <f t="shared" si="1"/>
        <v>50</v>
      </c>
      <c r="M39" s="62">
        <v>20</v>
      </c>
      <c r="N39" s="143">
        <v>42</v>
      </c>
      <c r="O39" s="13">
        <f t="shared" si="2"/>
        <v>28</v>
      </c>
      <c r="P39" s="62"/>
      <c r="Q39" s="143"/>
      <c r="R39" s="30">
        <f t="shared" si="3"/>
        <v>28</v>
      </c>
      <c r="S39" s="62"/>
      <c r="T39" s="143">
        <f>6+2+2</f>
        <v>10</v>
      </c>
      <c r="U39" s="13">
        <f t="shared" si="4"/>
        <v>18</v>
      </c>
      <c r="V39" s="62"/>
      <c r="W39" s="143"/>
      <c r="X39" s="13">
        <f t="shared" si="5"/>
        <v>18</v>
      </c>
      <c r="Y39" s="62"/>
      <c r="Z39" s="143"/>
      <c r="AA39" s="13">
        <f t="shared" si="27"/>
        <v>18</v>
      </c>
      <c r="AB39" s="62"/>
      <c r="AC39" s="143"/>
      <c r="AD39" s="13">
        <f t="shared" si="28"/>
        <v>18</v>
      </c>
      <c r="AE39" s="62"/>
      <c r="AF39" s="143"/>
      <c r="AG39" s="13">
        <f t="shared" si="29"/>
        <v>18</v>
      </c>
      <c r="AH39" s="62"/>
      <c r="AI39" s="143"/>
      <c r="AJ39" s="13">
        <f t="shared" si="30"/>
        <v>18</v>
      </c>
      <c r="AK39" s="62"/>
      <c r="AL39" s="143"/>
      <c r="AM39" s="13">
        <f t="shared" si="6"/>
        <v>18</v>
      </c>
      <c r="AN39" s="62"/>
      <c r="AO39" s="143"/>
      <c r="AP39" s="13">
        <f t="shared" si="7"/>
        <v>18</v>
      </c>
      <c r="AQ39" s="62"/>
      <c r="AR39" s="143"/>
      <c r="AS39" s="13">
        <f t="shared" si="8"/>
        <v>18</v>
      </c>
      <c r="AT39" s="62"/>
      <c r="AU39" s="143"/>
      <c r="AV39" s="13">
        <f t="shared" si="9"/>
        <v>18</v>
      </c>
      <c r="AW39" s="62"/>
      <c r="AX39" s="143"/>
      <c r="AY39" s="13">
        <f t="shared" si="10"/>
        <v>18</v>
      </c>
      <c r="AZ39" s="62"/>
      <c r="BA39" s="143"/>
      <c r="BB39" s="13">
        <f t="shared" si="11"/>
        <v>18</v>
      </c>
      <c r="BC39" s="62"/>
      <c r="BD39" s="143"/>
      <c r="BE39" s="13">
        <f t="shared" si="12"/>
        <v>18</v>
      </c>
      <c r="BF39" s="62"/>
      <c r="BG39" s="143"/>
      <c r="BH39" s="13">
        <f t="shared" si="13"/>
        <v>18</v>
      </c>
      <c r="BI39" s="62"/>
      <c r="BJ39" s="143"/>
      <c r="BK39" s="13">
        <f t="shared" si="14"/>
        <v>18</v>
      </c>
      <c r="BL39" s="62"/>
      <c r="BM39" s="143"/>
      <c r="BN39" s="13">
        <f t="shared" si="15"/>
        <v>18</v>
      </c>
      <c r="BO39" s="62"/>
      <c r="BP39" s="143"/>
      <c r="BQ39" s="13">
        <f t="shared" si="16"/>
        <v>18</v>
      </c>
      <c r="BR39" s="62"/>
      <c r="BS39" s="143"/>
      <c r="BT39" s="13">
        <f t="shared" si="17"/>
        <v>18</v>
      </c>
      <c r="BU39" s="62"/>
      <c r="BV39" s="143"/>
      <c r="BW39" s="13">
        <f t="shared" si="18"/>
        <v>18</v>
      </c>
      <c r="BX39" s="62"/>
      <c r="BY39" s="143"/>
      <c r="BZ39" s="13">
        <f t="shared" si="19"/>
        <v>18</v>
      </c>
      <c r="CA39" s="62"/>
      <c r="CB39" s="143"/>
      <c r="CC39" s="13">
        <f t="shared" si="20"/>
        <v>18</v>
      </c>
      <c r="CD39" s="62"/>
      <c r="CE39" s="143"/>
      <c r="CF39" s="13">
        <f t="shared" si="21"/>
        <v>18</v>
      </c>
      <c r="CG39" s="62"/>
      <c r="CH39" s="143"/>
      <c r="CI39" s="13">
        <f t="shared" si="31"/>
        <v>18</v>
      </c>
      <c r="CJ39" s="62"/>
      <c r="CK39" s="143"/>
      <c r="CL39" s="13">
        <f t="shared" si="32"/>
        <v>18</v>
      </c>
      <c r="CM39" s="62"/>
      <c r="CN39" s="143"/>
      <c r="CO39" s="13">
        <f t="shared" si="22"/>
        <v>18</v>
      </c>
      <c r="CP39" s="62"/>
      <c r="CQ39" s="143"/>
      <c r="CR39" s="13">
        <f t="shared" si="33"/>
        <v>18</v>
      </c>
      <c r="CS39" s="62"/>
      <c r="CT39" s="143"/>
      <c r="CU39" s="14">
        <f t="shared" si="23"/>
        <v>18</v>
      </c>
      <c r="CV39" s="5">
        <f t="shared" si="36"/>
        <v>20</v>
      </c>
      <c r="CW39" s="4">
        <f t="shared" si="36"/>
        <v>52</v>
      </c>
      <c r="CX39" s="6">
        <f t="shared" si="25"/>
        <v>18</v>
      </c>
      <c r="CY39" s="162">
        <v>14</v>
      </c>
      <c r="CZ39" s="171">
        <f t="shared" si="26"/>
        <v>252</v>
      </c>
      <c r="DB39" s="2">
        <f t="shared" si="34"/>
        <v>18</v>
      </c>
      <c r="DC39" s="61"/>
      <c r="DD39" s="143"/>
      <c r="DE39" s="149">
        <f t="shared" si="35"/>
        <v>18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20</v>
      </c>
      <c r="E40" s="159" t="s">
        <v>85</v>
      </c>
      <c r="F40" s="14">
        <v>18.79999999999999</v>
      </c>
      <c r="G40" s="62"/>
      <c r="H40" s="143"/>
      <c r="I40" s="13">
        <f t="shared" si="0"/>
        <v>18.79999999999999</v>
      </c>
      <c r="J40" s="62"/>
      <c r="K40" s="143"/>
      <c r="L40" s="13">
        <f t="shared" si="1"/>
        <v>18.79999999999999</v>
      </c>
      <c r="M40" s="62">
        <v>20</v>
      </c>
      <c r="N40" s="143">
        <v>0.7</v>
      </c>
      <c r="O40" s="13">
        <f t="shared" si="2"/>
        <v>38.099999999999987</v>
      </c>
      <c r="P40" s="62"/>
      <c r="Q40" s="143"/>
      <c r="R40" s="30">
        <f t="shared" si="3"/>
        <v>38.099999999999987</v>
      </c>
      <c r="S40" s="62"/>
      <c r="T40" s="143">
        <f>0.7+2.1+0.9+1.4+1.5+1.5+2.8+1.7+2.2+2.2+1.2+1.4+1.5+0.7</f>
        <v>21.799999999999994</v>
      </c>
      <c r="U40" s="13">
        <f t="shared" si="4"/>
        <v>16.299999999999994</v>
      </c>
      <c r="V40" s="62"/>
      <c r="W40" s="143"/>
      <c r="X40" s="13">
        <f t="shared" si="5"/>
        <v>16.299999999999994</v>
      </c>
      <c r="Y40" s="62"/>
      <c r="Z40" s="143"/>
      <c r="AA40" s="13">
        <f t="shared" si="27"/>
        <v>16.299999999999994</v>
      </c>
      <c r="AB40" s="62"/>
      <c r="AC40" s="143"/>
      <c r="AD40" s="13">
        <f t="shared" si="28"/>
        <v>16.299999999999994</v>
      </c>
      <c r="AE40" s="62"/>
      <c r="AF40" s="143"/>
      <c r="AG40" s="13">
        <f t="shared" si="29"/>
        <v>16.299999999999994</v>
      </c>
      <c r="AH40" s="62"/>
      <c r="AI40" s="143"/>
      <c r="AJ40" s="13">
        <f t="shared" si="30"/>
        <v>16.299999999999994</v>
      </c>
      <c r="AK40" s="62"/>
      <c r="AL40" s="143"/>
      <c r="AM40" s="13">
        <f t="shared" si="6"/>
        <v>16.299999999999994</v>
      </c>
      <c r="AN40" s="62"/>
      <c r="AO40" s="143"/>
      <c r="AP40" s="13">
        <f t="shared" si="7"/>
        <v>16.299999999999994</v>
      </c>
      <c r="AQ40" s="62"/>
      <c r="AR40" s="143"/>
      <c r="AS40" s="13">
        <f t="shared" si="8"/>
        <v>16.299999999999994</v>
      </c>
      <c r="AT40" s="62"/>
      <c r="AU40" s="143"/>
      <c r="AV40" s="13">
        <f t="shared" si="9"/>
        <v>16.299999999999994</v>
      </c>
      <c r="AW40" s="62"/>
      <c r="AX40" s="143"/>
      <c r="AY40" s="13">
        <f t="shared" si="10"/>
        <v>16.299999999999994</v>
      </c>
      <c r="AZ40" s="62"/>
      <c r="BA40" s="143"/>
      <c r="BB40" s="13">
        <f t="shared" si="11"/>
        <v>16.299999999999994</v>
      </c>
      <c r="BC40" s="62"/>
      <c r="BD40" s="143"/>
      <c r="BE40" s="13">
        <f t="shared" si="12"/>
        <v>16.299999999999994</v>
      </c>
      <c r="BF40" s="62"/>
      <c r="BG40" s="143"/>
      <c r="BH40" s="13">
        <f t="shared" si="13"/>
        <v>16.299999999999994</v>
      </c>
      <c r="BI40" s="62"/>
      <c r="BJ40" s="143"/>
      <c r="BK40" s="13">
        <f t="shared" si="14"/>
        <v>16.299999999999994</v>
      </c>
      <c r="BL40" s="62"/>
      <c r="BM40" s="143"/>
      <c r="BN40" s="13">
        <f t="shared" si="15"/>
        <v>16.299999999999994</v>
      </c>
      <c r="BO40" s="62"/>
      <c r="BP40" s="143"/>
      <c r="BQ40" s="13">
        <f t="shared" si="16"/>
        <v>16.299999999999994</v>
      </c>
      <c r="BR40" s="62"/>
      <c r="BS40" s="143"/>
      <c r="BT40" s="13">
        <f t="shared" si="17"/>
        <v>16.299999999999994</v>
      </c>
      <c r="BU40" s="62"/>
      <c r="BV40" s="143"/>
      <c r="BW40" s="13">
        <f t="shared" si="18"/>
        <v>16.299999999999994</v>
      </c>
      <c r="BX40" s="62"/>
      <c r="BY40" s="143"/>
      <c r="BZ40" s="13">
        <f t="shared" si="19"/>
        <v>16.299999999999994</v>
      </c>
      <c r="CA40" s="62"/>
      <c r="CB40" s="143"/>
      <c r="CC40" s="13">
        <f t="shared" si="20"/>
        <v>16.299999999999994</v>
      </c>
      <c r="CD40" s="62"/>
      <c r="CE40" s="143"/>
      <c r="CF40" s="13">
        <f t="shared" si="21"/>
        <v>16.299999999999994</v>
      </c>
      <c r="CG40" s="62"/>
      <c r="CH40" s="143"/>
      <c r="CI40" s="13">
        <f t="shared" si="31"/>
        <v>16.299999999999994</v>
      </c>
      <c r="CJ40" s="62"/>
      <c r="CK40" s="143"/>
      <c r="CL40" s="13">
        <f t="shared" si="32"/>
        <v>16.299999999999994</v>
      </c>
      <c r="CM40" s="62"/>
      <c r="CN40" s="143"/>
      <c r="CO40" s="13">
        <f t="shared" si="22"/>
        <v>16.299999999999994</v>
      </c>
      <c r="CP40" s="62"/>
      <c r="CQ40" s="143"/>
      <c r="CR40" s="13">
        <f t="shared" si="33"/>
        <v>16.299999999999994</v>
      </c>
      <c r="CS40" s="62"/>
      <c r="CT40" s="143"/>
      <c r="CU40" s="14">
        <f t="shared" si="23"/>
        <v>16.299999999999994</v>
      </c>
      <c r="CV40" s="5">
        <f t="shared" si="36"/>
        <v>20</v>
      </c>
      <c r="CW40" s="4">
        <f t="shared" si="36"/>
        <v>22.499999999999993</v>
      </c>
      <c r="CX40" s="6">
        <f t="shared" si="25"/>
        <v>16.299999999999994</v>
      </c>
      <c r="CY40" s="162">
        <v>200</v>
      </c>
      <c r="CZ40" s="171">
        <f t="shared" si="26"/>
        <v>3259.9999999999986</v>
      </c>
      <c r="DB40" s="2">
        <f t="shared" si="34"/>
        <v>16.299999999999994</v>
      </c>
      <c r="DC40" s="62"/>
      <c r="DD40" s="143"/>
      <c r="DE40" s="149">
        <f t="shared" si="35"/>
        <v>16.299999999999994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1</v>
      </c>
      <c r="G42" s="62"/>
      <c r="H42" s="143"/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2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/>
      <c r="CL42" s="13">
        <f t="shared" si="32"/>
        <v>1</v>
      </c>
      <c r="CM42" s="62"/>
      <c r="CN42" s="143"/>
      <c r="CO42" s="13">
        <f t="shared" si="22"/>
        <v>1</v>
      </c>
      <c r="CP42" s="62"/>
      <c r="CQ42" s="143"/>
      <c r="CR42" s="13">
        <f t="shared" si="33"/>
        <v>1</v>
      </c>
      <c r="CS42" s="62"/>
      <c r="CT42" s="143"/>
      <c r="CU42" s="14">
        <f t="shared" si="23"/>
        <v>1</v>
      </c>
      <c r="CV42" s="5">
        <f t="shared" si="36"/>
        <v>0</v>
      </c>
      <c r="CW42" s="4">
        <f t="shared" si="36"/>
        <v>0</v>
      </c>
      <c r="CX42" s="6">
        <f t="shared" si="25"/>
        <v>1</v>
      </c>
      <c r="CY42" s="162">
        <v>0</v>
      </c>
      <c r="CZ42" s="171">
        <f t="shared" si="26"/>
        <v>0</v>
      </c>
      <c r="DB42" s="2">
        <f t="shared" si="34"/>
        <v>1</v>
      </c>
      <c r="DC42" s="61"/>
      <c r="DD42" s="143"/>
      <c r="DE42" s="149">
        <f t="shared" si="35"/>
        <v>1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/>
      <c r="H43" s="143"/>
      <c r="I43" s="13">
        <f t="shared" si="0"/>
        <v>0</v>
      </c>
      <c r="J43" s="62"/>
      <c r="K43" s="143"/>
      <c r="L43" s="13">
        <f t="shared" si="1"/>
        <v>0</v>
      </c>
      <c r="M43" s="62"/>
      <c r="N43" s="143"/>
      <c r="O43" s="13">
        <f t="shared" si="2"/>
        <v>0</v>
      </c>
      <c r="P43" s="62"/>
      <c r="Q43" s="143"/>
      <c r="R43" s="30">
        <f t="shared" si="3"/>
        <v>0</v>
      </c>
      <c r="S43" s="62"/>
      <c r="T43" s="143"/>
      <c r="U43" s="13">
        <f t="shared" si="4"/>
        <v>0</v>
      </c>
      <c r="V43" s="62"/>
      <c r="W43" s="143"/>
      <c r="X43" s="13">
        <f t="shared" si="5"/>
        <v>0</v>
      </c>
      <c r="Y43" s="62"/>
      <c r="Z43" s="143"/>
      <c r="AA43" s="13">
        <f t="shared" si="27"/>
        <v>0</v>
      </c>
      <c r="AB43" s="62"/>
      <c r="AC43" s="143"/>
      <c r="AD43" s="13">
        <f t="shared" si="28"/>
        <v>0</v>
      </c>
      <c r="AE43" s="62"/>
      <c r="AF43" s="143"/>
      <c r="AG43" s="13">
        <f t="shared" si="29"/>
        <v>0</v>
      </c>
      <c r="AH43" s="62"/>
      <c r="AI43" s="143"/>
      <c r="AJ43" s="13">
        <f t="shared" si="30"/>
        <v>0</v>
      </c>
      <c r="AK43" s="62"/>
      <c r="AL43" s="143"/>
      <c r="AM43" s="13">
        <f t="shared" si="6"/>
        <v>0</v>
      </c>
      <c r="AN43" s="62"/>
      <c r="AO43" s="143"/>
      <c r="AP43" s="13">
        <f t="shared" si="7"/>
        <v>0</v>
      </c>
      <c r="AQ43" s="62"/>
      <c r="AR43" s="143"/>
      <c r="AS43" s="13">
        <f t="shared" si="8"/>
        <v>0</v>
      </c>
      <c r="AT43" s="62"/>
      <c r="AU43" s="143"/>
      <c r="AV43" s="13">
        <f t="shared" si="9"/>
        <v>0</v>
      </c>
      <c r="AW43" s="62"/>
      <c r="AX43" s="143"/>
      <c r="AY43" s="13">
        <f t="shared" si="10"/>
        <v>0</v>
      </c>
      <c r="AZ43" s="62"/>
      <c r="BA43" s="143"/>
      <c r="BB43" s="13">
        <f t="shared" si="11"/>
        <v>0</v>
      </c>
      <c r="BC43" s="62"/>
      <c r="BD43" s="143"/>
      <c r="BE43" s="13">
        <f t="shared" si="12"/>
        <v>0</v>
      </c>
      <c r="BF43" s="62"/>
      <c r="BG43" s="143"/>
      <c r="BH43" s="13">
        <f t="shared" si="13"/>
        <v>0</v>
      </c>
      <c r="BI43" s="62"/>
      <c r="BJ43" s="143"/>
      <c r="BK43" s="13">
        <f t="shared" si="14"/>
        <v>0</v>
      </c>
      <c r="BL43" s="62"/>
      <c r="BM43" s="143"/>
      <c r="BN43" s="13">
        <f t="shared" si="15"/>
        <v>0</v>
      </c>
      <c r="BO43" s="62"/>
      <c r="BP43" s="143"/>
      <c r="BQ43" s="13">
        <f t="shared" si="16"/>
        <v>0</v>
      </c>
      <c r="BR43" s="62"/>
      <c r="BS43" s="143"/>
      <c r="BT43" s="13">
        <f t="shared" si="17"/>
        <v>0</v>
      </c>
      <c r="BU43" s="62"/>
      <c r="BV43" s="143"/>
      <c r="BW43" s="13">
        <f t="shared" si="18"/>
        <v>0</v>
      </c>
      <c r="BX43" s="62"/>
      <c r="BY43" s="143"/>
      <c r="BZ43" s="13">
        <f t="shared" si="19"/>
        <v>0</v>
      </c>
      <c r="CA43" s="62"/>
      <c r="CB43" s="143"/>
      <c r="CC43" s="13">
        <f t="shared" si="20"/>
        <v>0</v>
      </c>
      <c r="CD43" s="62"/>
      <c r="CE43" s="143"/>
      <c r="CF43" s="13">
        <f t="shared" si="21"/>
        <v>0</v>
      </c>
      <c r="CG43" s="62"/>
      <c r="CH43" s="143"/>
      <c r="CI43" s="13">
        <f t="shared" si="31"/>
        <v>0</v>
      </c>
      <c r="CJ43" s="62"/>
      <c r="CK43" s="143"/>
      <c r="CL43" s="13">
        <f t="shared" si="32"/>
        <v>0</v>
      </c>
      <c r="CM43" s="62"/>
      <c r="CN43" s="143"/>
      <c r="CO43" s="13">
        <f t="shared" si="22"/>
        <v>0</v>
      </c>
      <c r="CP43" s="62"/>
      <c r="CQ43" s="143"/>
      <c r="CR43" s="13">
        <f t="shared" si="33"/>
        <v>0</v>
      </c>
      <c r="CS43" s="62"/>
      <c r="CT43" s="143"/>
      <c r="CU43" s="14">
        <f t="shared" si="23"/>
        <v>0</v>
      </c>
      <c r="CV43" s="5">
        <f t="shared" si="36"/>
        <v>0</v>
      </c>
      <c r="CW43" s="4">
        <f t="shared" si="36"/>
        <v>0</v>
      </c>
      <c r="CX43" s="6">
        <f t="shared" si="25"/>
        <v>0</v>
      </c>
      <c r="CY43" s="162">
        <v>350</v>
      </c>
      <c r="CZ43" s="171">
        <f t="shared" si="26"/>
        <v>0</v>
      </c>
      <c r="DB43" s="2">
        <f t="shared" si="34"/>
        <v>0</v>
      </c>
      <c r="DC43" s="62"/>
      <c r="DD43" s="143"/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/>
      <c r="E45" s="34" t="s">
        <v>21</v>
      </c>
      <c r="F45" s="14">
        <v>0</v>
      </c>
      <c r="G45" s="62"/>
      <c r="H45" s="143"/>
      <c r="I45" s="13">
        <f t="shared" si="0"/>
        <v>0</v>
      </c>
      <c r="J45" s="62"/>
      <c r="K45" s="143"/>
      <c r="L45" s="13">
        <f t="shared" si="1"/>
        <v>0</v>
      </c>
      <c r="M45" s="62"/>
      <c r="N45" s="143"/>
      <c r="O45" s="13">
        <f t="shared" si="2"/>
        <v>0</v>
      </c>
      <c r="P45" s="62"/>
      <c r="Q45" s="143"/>
      <c r="R45" s="30">
        <f t="shared" si="3"/>
        <v>0</v>
      </c>
      <c r="S45" s="62"/>
      <c r="T45" s="143"/>
      <c r="U45" s="13">
        <f t="shared" si="4"/>
        <v>0</v>
      </c>
      <c r="V45" s="62"/>
      <c r="W45" s="143"/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/>
      <c r="AF45" s="143"/>
      <c r="AG45" s="13">
        <f t="shared" si="29"/>
        <v>0</v>
      </c>
      <c r="AH45" s="62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/>
      <c r="AR45" s="143"/>
      <c r="AS45" s="13">
        <f t="shared" si="8"/>
        <v>0</v>
      </c>
      <c r="AT45" s="62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0</v>
      </c>
      <c r="CW45" s="4">
        <f t="shared" si="36"/>
        <v>0</v>
      </c>
      <c r="CX45" s="6">
        <f t="shared" si="25"/>
        <v>0</v>
      </c>
      <c r="CY45" s="162">
        <v>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/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/>
      <c r="T46" s="143"/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/>
      <c r="AF46" s="143"/>
      <c r="AG46" s="13">
        <f t="shared" si="29"/>
        <v>0</v>
      </c>
      <c r="AH46" s="176"/>
      <c r="AI46" s="143"/>
      <c r="AJ46" s="13">
        <f t="shared" si="30"/>
        <v>0</v>
      </c>
      <c r="AK46" s="176"/>
      <c r="AL46" s="143"/>
      <c r="AM46" s="13">
        <f t="shared" si="6"/>
        <v>0</v>
      </c>
      <c r="AN46" s="176"/>
      <c r="AO46" s="143"/>
      <c r="AP46" s="13">
        <f t="shared" si="7"/>
        <v>0</v>
      </c>
      <c r="AQ46" s="176"/>
      <c r="AR46" s="143"/>
      <c r="AS46" s="13">
        <f t="shared" si="8"/>
        <v>0</v>
      </c>
      <c r="AT46" s="176"/>
      <c r="AU46" s="143"/>
      <c r="AV46" s="13">
        <f t="shared" si="9"/>
        <v>0</v>
      </c>
      <c r="AW46" s="176"/>
      <c r="AX46" s="143"/>
      <c r="AY46" s="13">
        <f t="shared" si="10"/>
        <v>0</v>
      </c>
      <c r="AZ46" s="176"/>
      <c r="BA46" s="143"/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176"/>
      <c r="CN46" s="143"/>
      <c r="CO46" s="13">
        <f t="shared" si="22"/>
        <v>0</v>
      </c>
      <c r="CP46" s="176"/>
      <c r="CQ46" s="143"/>
      <c r="CR46" s="13">
        <f t="shared" si="33"/>
        <v>0</v>
      </c>
      <c r="CS46" s="176"/>
      <c r="CT46" s="143"/>
      <c r="CU46" s="14">
        <f t="shared" si="23"/>
        <v>0</v>
      </c>
      <c r="CV46" s="5">
        <f t="shared" si="36"/>
        <v>0</v>
      </c>
      <c r="CW46" s="4">
        <f t="shared" si="36"/>
        <v>0</v>
      </c>
      <c r="CX46" s="6">
        <f t="shared" si="25"/>
        <v>0</v>
      </c>
      <c r="CY46" s="162">
        <v>220</v>
      </c>
      <c r="CZ46" s="171">
        <f t="shared" si="26"/>
        <v>0</v>
      </c>
      <c r="DB46" s="2">
        <f t="shared" si="34"/>
        <v>0</v>
      </c>
      <c r="DC46" s="63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/>
      <c r="Z47" s="143"/>
      <c r="AA47" s="13">
        <f t="shared" si="27"/>
        <v>0</v>
      </c>
      <c r="AB47" s="176"/>
      <c r="AC47" s="143"/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/>
      <c r="BS47" s="143"/>
      <c r="BT47" s="13">
        <f t="shared" si="17"/>
        <v>0</v>
      </c>
      <c r="BU47" s="176"/>
      <c r="BV47" s="143"/>
      <c r="BW47" s="13">
        <f t="shared" si="18"/>
        <v>0</v>
      </c>
      <c r="BX47" s="176"/>
      <c r="BY47" s="143"/>
      <c r="BZ47" s="13">
        <f t="shared" si="19"/>
        <v>0</v>
      </c>
      <c r="CA47" s="176"/>
      <c r="CB47" s="143"/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0</v>
      </c>
      <c r="CW47" s="4">
        <f t="shared" si="36"/>
        <v>0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3.7800000000000011</v>
      </c>
      <c r="G48" s="62"/>
      <c r="H48" s="143"/>
      <c r="I48" s="13">
        <f t="shared" si="0"/>
        <v>3.7800000000000011</v>
      </c>
      <c r="J48" s="62"/>
      <c r="K48" s="143"/>
      <c r="L48" s="13">
        <f t="shared" si="1"/>
        <v>3.7800000000000011</v>
      </c>
      <c r="M48" s="62"/>
      <c r="N48" s="143">
        <v>1.4</v>
      </c>
      <c r="O48" s="13">
        <f t="shared" si="2"/>
        <v>2.3800000000000012</v>
      </c>
      <c r="P48" s="62"/>
      <c r="Q48" s="143"/>
      <c r="R48" s="30">
        <f t="shared" si="3"/>
        <v>2.3800000000000012</v>
      </c>
      <c r="S48" s="62"/>
      <c r="T48" s="143">
        <f>0.4</f>
        <v>0.4</v>
      </c>
      <c r="U48" s="13">
        <f t="shared" si="4"/>
        <v>1.9800000000000013</v>
      </c>
      <c r="V48" s="62"/>
      <c r="W48" s="143"/>
      <c r="X48" s="13">
        <f t="shared" si="5"/>
        <v>1.9800000000000013</v>
      </c>
      <c r="Y48" s="62"/>
      <c r="Z48" s="143"/>
      <c r="AA48" s="13">
        <f t="shared" si="27"/>
        <v>1.9800000000000013</v>
      </c>
      <c r="AB48" s="62"/>
      <c r="AC48" s="143"/>
      <c r="AD48" s="13">
        <f t="shared" si="28"/>
        <v>1.9800000000000013</v>
      </c>
      <c r="AE48" s="62"/>
      <c r="AF48" s="143"/>
      <c r="AG48" s="13">
        <f t="shared" si="29"/>
        <v>1.9800000000000013</v>
      </c>
      <c r="AH48" s="62"/>
      <c r="AI48" s="143"/>
      <c r="AJ48" s="13">
        <f t="shared" si="30"/>
        <v>1.9800000000000013</v>
      </c>
      <c r="AK48" s="62"/>
      <c r="AL48" s="143"/>
      <c r="AM48" s="13">
        <f t="shared" si="6"/>
        <v>1.9800000000000013</v>
      </c>
      <c r="AN48" s="62"/>
      <c r="AO48" s="143"/>
      <c r="AP48" s="13">
        <f t="shared" si="7"/>
        <v>1.9800000000000013</v>
      </c>
      <c r="AQ48" s="62"/>
      <c r="AR48" s="143"/>
      <c r="AS48" s="13">
        <f t="shared" si="8"/>
        <v>1.9800000000000013</v>
      </c>
      <c r="AT48" s="62"/>
      <c r="AU48" s="143"/>
      <c r="AV48" s="13">
        <f t="shared" si="9"/>
        <v>1.9800000000000013</v>
      </c>
      <c r="AW48" s="62"/>
      <c r="AX48" s="143"/>
      <c r="AY48" s="13">
        <f t="shared" si="10"/>
        <v>1.9800000000000013</v>
      </c>
      <c r="AZ48" s="62"/>
      <c r="BA48" s="143"/>
      <c r="BB48" s="13">
        <f t="shared" si="11"/>
        <v>1.9800000000000013</v>
      </c>
      <c r="BC48" s="62"/>
      <c r="BD48" s="143"/>
      <c r="BE48" s="13">
        <f t="shared" si="12"/>
        <v>1.9800000000000013</v>
      </c>
      <c r="BF48" s="62"/>
      <c r="BG48" s="143"/>
      <c r="BH48" s="13">
        <f t="shared" si="13"/>
        <v>1.9800000000000013</v>
      </c>
      <c r="BI48" s="62"/>
      <c r="BJ48" s="143"/>
      <c r="BK48" s="13">
        <f t="shared" si="14"/>
        <v>1.9800000000000013</v>
      </c>
      <c r="BL48" s="62"/>
      <c r="BM48" s="143"/>
      <c r="BN48" s="13">
        <f t="shared" si="15"/>
        <v>1.9800000000000013</v>
      </c>
      <c r="BO48" s="62"/>
      <c r="BP48" s="143"/>
      <c r="BQ48" s="13">
        <f t="shared" si="16"/>
        <v>1.9800000000000013</v>
      </c>
      <c r="BR48" s="62"/>
      <c r="BS48" s="143"/>
      <c r="BT48" s="13">
        <f t="shared" si="17"/>
        <v>1.9800000000000013</v>
      </c>
      <c r="BU48" s="62"/>
      <c r="BV48" s="143"/>
      <c r="BW48" s="13">
        <f t="shared" si="18"/>
        <v>1.9800000000000013</v>
      </c>
      <c r="BX48" s="62"/>
      <c r="BY48" s="143"/>
      <c r="BZ48" s="13">
        <f t="shared" si="19"/>
        <v>1.9800000000000013</v>
      </c>
      <c r="CA48" s="62"/>
      <c r="CB48" s="143"/>
      <c r="CC48" s="13">
        <f t="shared" si="20"/>
        <v>1.9800000000000013</v>
      </c>
      <c r="CD48" s="62"/>
      <c r="CE48" s="143"/>
      <c r="CF48" s="13">
        <f t="shared" si="21"/>
        <v>1.9800000000000013</v>
      </c>
      <c r="CG48" s="62"/>
      <c r="CH48" s="143"/>
      <c r="CI48" s="13">
        <f t="shared" si="31"/>
        <v>1.9800000000000013</v>
      </c>
      <c r="CJ48" s="62"/>
      <c r="CK48" s="143"/>
      <c r="CL48" s="13">
        <f t="shared" si="32"/>
        <v>1.9800000000000013</v>
      </c>
      <c r="CM48" s="62"/>
      <c r="CN48" s="143"/>
      <c r="CO48" s="13">
        <f t="shared" si="22"/>
        <v>1.9800000000000013</v>
      </c>
      <c r="CP48" s="62"/>
      <c r="CQ48" s="143"/>
      <c r="CR48" s="13">
        <f t="shared" si="33"/>
        <v>1.9800000000000013</v>
      </c>
      <c r="CS48" s="62"/>
      <c r="CT48" s="143"/>
      <c r="CU48" s="14">
        <f t="shared" si="23"/>
        <v>1.9800000000000013</v>
      </c>
      <c r="CV48" s="5">
        <f t="shared" si="36"/>
        <v>0</v>
      </c>
      <c r="CW48" s="4">
        <f t="shared" si="36"/>
        <v>1.7999999999999998</v>
      </c>
      <c r="CX48" s="6">
        <f t="shared" si="25"/>
        <v>1.9800000000000013</v>
      </c>
      <c r="CY48" s="162">
        <v>700</v>
      </c>
      <c r="CZ48" s="171">
        <f t="shared" si="26"/>
        <v>1386.0000000000009</v>
      </c>
      <c r="DB48" s="2">
        <f t="shared" si="34"/>
        <v>1.9800000000000013</v>
      </c>
      <c r="DC48" s="61"/>
      <c r="DD48" s="143"/>
      <c r="DE48" s="149">
        <f t="shared" si="35"/>
        <v>1.9800000000000013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8</v>
      </c>
      <c r="G49" s="62"/>
      <c r="H49" s="143"/>
      <c r="I49" s="13">
        <f t="shared" si="0"/>
        <v>8</v>
      </c>
      <c r="J49" s="62"/>
      <c r="K49" s="143"/>
      <c r="L49" s="13">
        <f t="shared" si="1"/>
        <v>8</v>
      </c>
      <c r="M49" s="62"/>
      <c r="N49" s="143">
        <v>5</v>
      </c>
      <c r="O49" s="13">
        <f t="shared" si="2"/>
        <v>3</v>
      </c>
      <c r="P49" s="62"/>
      <c r="Q49" s="143"/>
      <c r="R49" s="30">
        <f t="shared" si="3"/>
        <v>3</v>
      </c>
      <c r="S49" s="62"/>
      <c r="T49" s="143"/>
      <c r="U49" s="13">
        <f t="shared" si="4"/>
        <v>3</v>
      </c>
      <c r="V49" s="62"/>
      <c r="W49" s="143"/>
      <c r="X49" s="13">
        <f t="shared" si="5"/>
        <v>3</v>
      </c>
      <c r="Y49" s="62"/>
      <c r="Z49" s="143"/>
      <c r="AA49" s="13">
        <f t="shared" si="27"/>
        <v>3</v>
      </c>
      <c r="AB49" s="62"/>
      <c r="AC49" s="143"/>
      <c r="AD49" s="13">
        <f t="shared" si="28"/>
        <v>3</v>
      </c>
      <c r="AE49" s="62"/>
      <c r="AF49" s="143"/>
      <c r="AG49" s="13">
        <f t="shared" si="29"/>
        <v>3</v>
      </c>
      <c r="AH49" s="62"/>
      <c r="AI49" s="143"/>
      <c r="AJ49" s="13">
        <f t="shared" si="30"/>
        <v>3</v>
      </c>
      <c r="AK49" s="62"/>
      <c r="AL49" s="143"/>
      <c r="AM49" s="13">
        <f t="shared" si="6"/>
        <v>3</v>
      </c>
      <c r="AN49" s="62"/>
      <c r="AO49" s="143"/>
      <c r="AP49" s="13">
        <f t="shared" si="7"/>
        <v>3</v>
      </c>
      <c r="AQ49" s="62"/>
      <c r="AR49" s="143"/>
      <c r="AS49" s="13">
        <f t="shared" si="8"/>
        <v>3</v>
      </c>
      <c r="AT49" s="62"/>
      <c r="AU49" s="143"/>
      <c r="AV49" s="13">
        <f t="shared" si="9"/>
        <v>3</v>
      </c>
      <c r="AW49" s="62"/>
      <c r="AX49" s="143"/>
      <c r="AY49" s="13">
        <f t="shared" si="10"/>
        <v>3</v>
      </c>
      <c r="AZ49" s="62"/>
      <c r="BA49" s="143"/>
      <c r="BB49" s="13">
        <f t="shared" si="11"/>
        <v>3</v>
      </c>
      <c r="BC49" s="62"/>
      <c r="BD49" s="143"/>
      <c r="BE49" s="13">
        <f t="shared" si="12"/>
        <v>3</v>
      </c>
      <c r="BF49" s="62"/>
      <c r="BG49" s="143"/>
      <c r="BH49" s="13">
        <f t="shared" si="13"/>
        <v>3</v>
      </c>
      <c r="BI49" s="62"/>
      <c r="BJ49" s="143"/>
      <c r="BK49" s="13">
        <f t="shared" si="14"/>
        <v>3</v>
      </c>
      <c r="BL49" s="62"/>
      <c r="BM49" s="143"/>
      <c r="BN49" s="13">
        <f t="shared" si="15"/>
        <v>3</v>
      </c>
      <c r="BO49" s="62"/>
      <c r="BP49" s="143"/>
      <c r="BQ49" s="13">
        <f t="shared" si="16"/>
        <v>3</v>
      </c>
      <c r="BR49" s="62"/>
      <c r="BS49" s="143"/>
      <c r="BT49" s="13">
        <f t="shared" si="17"/>
        <v>3</v>
      </c>
      <c r="BU49" s="62"/>
      <c r="BV49" s="143"/>
      <c r="BW49" s="13">
        <f t="shared" si="18"/>
        <v>3</v>
      </c>
      <c r="BX49" s="62"/>
      <c r="BY49" s="143"/>
      <c r="BZ49" s="13">
        <f t="shared" si="19"/>
        <v>3</v>
      </c>
      <c r="CA49" s="62"/>
      <c r="CB49" s="143"/>
      <c r="CC49" s="13">
        <f t="shared" si="20"/>
        <v>3</v>
      </c>
      <c r="CD49" s="62"/>
      <c r="CE49" s="143"/>
      <c r="CF49" s="13">
        <f t="shared" si="21"/>
        <v>3</v>
      </c>
      <c r="CG49" s="62"/>
      <c r="CH49" s="143"/>
      <c r="CI49" s="13">
        <f t="shared" si="31"/>
        <v>3</v>
      </c>
      <c r="CJ49" s="62"/>
      <c r="CK49" s="143"/>
      <c r="CL49" s="13">
        <f t="shared" si="32"/>
        <v>3</v>
      </c>
      <c r="CM49" s="62"/>
      <c r="CN49" s="143"/>
      <c r="CO49" s="13">
        <f t="shared" si="22"/>
        <v>3</v>
      </c>
      <c r="CP49" s="62"/>
      <c r="CQ49" s="143"/>
      <c r="CR49" s="13">
        <f t="shared" si="33"/>
        <v>3</v>
      </c>
      <c r="CS49" s="62"/>
      <c r="CT49" s="143"/>
      <c r="CU49" s="14">
        <f t="shared" si="23"/>
        <v>3</v>
      </c>
      <c r="CV49" s="5">
        <f t="shared" si="36"/>
        <v>0</v>
      </c>
      <c r="CW49" s="4">
        <f t="shared" si="36"/>
        <v>5</v>
      </c>
      <c r="CX49" s="6">
        <f t="shared" si="25"/>
        <v>3</v>
      </c>
      <c r="CY49" s="162">
        <v>872</v>
      </c>
      <c r="CZ49" s="171">
        <f t="shared" si="26"/>
        <v>2616</v>
      </c>
      <c r="DB49" s="2">
        <f t="shared" si="34"/>
        <v>3</v>
      </c>
      <c r="DC49" s="61"/>
      <c r="DD49" s="143"/>
      <c r="DE49" s="149">
        <f t="shared" si="35"/>
        <v>3</v>
      </c>
    </row>
    <row r="50" spans="1:109" ht="15.75" customHeight="1">
      <c r="A50" s="33"/>
      <c r="B50" s="3" t="s">
        <v>264</v>
      </c>
      <c r="C50" s="104" t="s">
        <v>27</v>
      </c>
      <c r="D50" s="34"/>
      <c r="E50" s="34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180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3" t="s">
        <v>101</v>
      </c>
      <c r="C51" s="104" t="s">
        <v>27</v>
      </c>
      <c r="D51" s="34"/>
      <c r="E51" s="34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61</v>
      </c>
      <c r="G53" s="62"/>
      <c r="H53" s="143"/>
      <c r="I53" s="13">
        <f t="shared" si="0"/>
        <v>61</v>
      </c>
      <c r="J53" s="62"/>
      <c r="K53" s="143"/>
      <c r="L53" s="13">
        <f t="shared" si="1"/>
        <v>61</v>
      </c>
      <c r="M53" s="62">
        <v>20</v>
      </c>
      <c r="N53" s="143">
        <v>24</v>
      </c>
      <c r="O53" s="13">
        <f t="shared" si="2"/>
        <v>57</v>
      </c>
      <c r="P53" s="62"/>
      <c r="Q53" s="143"/>
      <c r="R53" s="13">
        <f t="shared" si="3"/>
        <v>57</v>
      </c>
      <c r="S53" s="62"/>
      <c r="T53" s="143"/>
      <c r="U53" s="13">
        <f t="shared" si="4"/>
        <v>57</v>
      </c>
      <c r="V53" s="62"/>
      <c r="W53" s="143"/>
      <c r="X53" s="13">
        <f t="shared" si="5"/>
        <v>57</v>
      </c>
      <c r="Y53" s="62"/>
      <c r="Z53" s="143"/>
      <c r="AA53" s="13">
        <f t="shared" si="27"/>
        <v>57</v>
      </c>
      <c r="AB53" s="62"/>
      <c r="AC53" s="143"/>
      <c r="AD53" s="13">
        <f t="shared" si="28"/>
        <v>57</v>
      </c>
      <c r="AE53" s="62"/>
      <c r="AF53" s="143"/>
      <c r="AG53" s="13">
        <f t="shared" si="29"/>
        <v>57</v>
      </c>
      <c r="AH53" s="62"/>
      <c r="AI53" s="143"/>
      <c r="AJ53" s="13">
        <f t="shared" si="30"/>
        <v>57</v>
      </c>
      <c r="AK53" s="62"/>
      <c r="AL53" s="143"/>
      <c r="AM53" s="13">
        <f t="shared" si="6"/>
        <v>57</v>
      </c>
      <c r="AN53" s="62"/>
      <c r="AO53" s="143"/>
      <c r="AP53" s="13">
        <f t="shared" si="7"/>
        <v>57</v>
      </c>
      <c r="AQ53" s="62"/>
      <c r="AR53" s="143"/>
      <c r="AS53" s="13">
        <f t="shared" si="8"/>
        <v>57</v>
      </c>
      <c r="AT53" s="62"/>
      <c r="AU53" s="143"/>
      <c r="AV53" s="13">
        <f t="shared" si="9"/>
        <v>57</v>
      </c>
      <c r="AW53" s="62"/>
      <c r="AX53" s="143"/>
      <c r="AY53" s="13">
        <f t="shared" si="10"/>
        <v>57</v>
      </c>
      <c r="AZ53" s="62"/>
      <c r="BA53" s="143"/>
      <c r="BB53" s="13">
        <f t="shared" si="11"/>
        <v>57</v>
      </c>
      <c r="BC53" s="62"/>
      <c r="BD53" s="143"/>
      <c r="BE53" s="13">
        <f t="shared" si="12"/>
        <v>57</v>
      </c>
      <c r="BF53" s="62"/>
      <c r="BG53" s="143"/>
      <c r="BH53" s="13">
        <f t="shared" si="13"/>
        <v>57</v>
      </c>
      <c r="BI53" s="62"/>
      <c r="BJ53" s="143"/>
      <c r="BK53" s="13">
        <f t="shared" si="14"/>
        <v>57</v>
      </c>
      <c r="BL53" s="62"/>
      <c r="BM53" s="143"/>
      <c r="BN53" s="13">
        <f t="shared" si="15"/>
        <v>57</v>
      </c>
      <c r="BO53" s="62"/>
      <c r="BP53" s="143"/>
      <c r="BQ53" s="13">
        <f t="shared" si="16"/>
        <v>57</v>
      </c>
      <c r="BR53" s="62"/>
      <c r="BS53" s="143"/>
      <c r="BT53" s="13">
        <f t="shared" si="17"/>
        <v>57</v>
      </c>
      <c r="BU53" s="62"/>
      <c r="BV53" s="143"/>
      <c r="BW53" s="13">
        <f t="shared" si="18"/>
        <v>57</v>
      </c>
      <c r="BX53" s="62"/>
      <c r="BY53" s="143"/>
      <c r="BZ53" s="13">
        <f t="shared" si="19"/>
        <v>57</v>
      </c>
      <c r="CA53" s="62"/>
      <c r="CB53" s="143"/>
      <c r="CC53" s="13">
        <f t="shared" si="20"/>
        <v>57</v>
      </c>
      <c r="CD53" s="62"/>
      <c r="CE53" s="143"/>
      <c r="CF53" s="13">
        <f t="shared" si="21"/>
        <v>57</v>
      </c>
      <c r="CG53" s="62"/>
      <c r="CH53" s="143"/>
      <c r="CI53" s="13">
        <f>CF53+CG53-CH53</f>
        <v>57</v>
      </c>
      <c r="CJ53" s="62"/>
      <c r="CK53" s="143"/>
      <c r="CL53" s="13">
        <f>CI53+CJ53-CK53</f>
        <v>57</v>
      </c>
      <c r="CM53" s="62"/>
      <c r="CN53" s="143"/>
      <c r="CO53" s="13">
        <f t="shared" si="22"/>
        <v>57</v>
      </c>
      <c r="CP53" s="62"/>
      <c r="CQ53" s="143"/>
      <c r="CR53" s="13">
        <f t="shared" si="33"/>
        <v>57</v>
      </c>
      <c r="CS53" s="62"/>
      <c r="CT53" s="143"/>
      <c r="CU53" s="14">
        <f t="shared" si="23"/>
        <v>57</v>
      </c>
      <c r="CV53" s="5">
        <f t="shared" si="36"/>
        <v>20</v>
      </c>
      <c r="CW53" s="4">
        <f t="shared" si="36"/>
        <v>24</v>
      </c>
      <c r="CX53" s="6">
        <f t="shared" si="25"/>
        <v>57</v>
      </c>
      <c r="CY53" s="162">
        <v>120</v>
      </c>
      <c r="CZ53" s="171">
        <f t="shared" si="26"/>
        <v>6840</v>
      </c>
      <c r="DB53" s="2">
        <f t="shared" si="34"/>
        <v>57</v>
      </c>
      <c r="DC53" s="61"/>
      <c r="DD53" s="143"/>
      <c r="DE53" s="149">
        <f t="shared" si="35"/>
        <v>57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10</v>
      </c>
      <c r="G55" s="62"/>
      <c r="H55" s="143"/>
      <c r="I55" s="13">
        <f t="shared" si="0"/>
        <v>10</v>
      </c>
      <c r="J55" s="62"/>
      <c r="K55" s="143"/>
      <c r="L55" s="13">
        <f t="shared" si="1"/>
        <v>10</v>
      </c>
      <c r="M55" s="62"/>
      <c r="N55" s="143"/>
      <c r="O55" s="13">
        <f t="shared" si="2"/>
        <v>10</v>
      </c>
      <c r="P55" s="62"/>
      <c r="Q55" s="143"/>
      <c r="R55" s="13">
        <f t="shared" si="3"/>
        <v>10</v>
      </c>
      <c r="S55" s="62"/>
      <c r="T55" s="143"/>
      <c r="U55" s="13">
        <f t="shared" si="4"/>
        <v>10</v>
      </c>
      <c r="V55" s="62"/>
      <c r="W55" s="143"/>
      <c r="X55" s="13">
        <f t="shared" si="5"/>
        <v>10</v>
      </c>
      <c r="Y55" s="62"/>
      <c r="Z55" s="143"/>
      <c r="AA55" s="13">
        <f t="shared" si="27"/>
        <v>10</v>
      </c>
      <c r="AB55" s="62"/>
      <c r="AC55" s="143"/>
      <c r="AD55" s="13">
        <f t="shared" si="28"/>
        <v>10</v>
      </c>
      <c r="AE55" s="62"/>
      <c r="AF55" s="143"/>
      <c r="AG55" s="13">
        <f t="shared" si="29"/>
        <v>10</v>
      </c>
      <c r="AH55" s="62"/>
      <c r="AI55" s="143"/>
      <c r="AJ55" s="13">
        <f t="shared" si="30"/>
        <v>10</v>
      </c>
      <c r="AK55" s="62"/>
      <c r="AL55" s="143"/>
      <c r="AM55" s="13">
        <f t="shared" si="6"/>
        <v>10</v>
      </c>
      <c r="AN55" s="62"/>
      <c r="AO55" s="143"/>
      <c r="AP55" s="13">
        <f t="shared" si="7"/>
        <v>10</v>
      </c>
      <c r="AQ55" s="62"/>
      <c r="AR55" s="143"/>
      <c r="AS55" s="13">
        <f t="shared" si="8"/>
        <v>10</v>
      </c>
      <c r="AT55" s="62"/>
      <c r="AU55" s="143"/>
      <c r="AV55" s="13">
        <f t="shared" si="9"/>
        <v>10</v>
      </c>
      <c r="AW55" s="62"/>
      <c r="AX55" s="143"/>
      <c r="AY55" s="13">
        <f t="shared" si="10"/>
        <v>10</v>
      </c>
      <c r="AZ55" s="62"/>
      <c r="BA55" s="143"/>
      <c r="BB55" s="13">
        <f t="shared" si="11"/>
        <v>10</v>
      </c>
      <c r="BC55" s="62"/>
      <c r="BD55" s="143"/>
      <c r="BE55" s="13">
        <f t="shared" si="12"/>
        <v>10</v>
      </c>
      <c r="BF55" s="62"/>
      <c r="BG55" s="143"/>
      <c r="BH55" s="13">
        <f t="shared" si="13"/>
        <v>10</v>
      </c>
      <c r="BI55" s="62"/>
      <c r="BJ55" s="143"/>
      <c r="BK55" s="13">
        <f t="shared" si="14"/>
        <v>10</v>
      </c>
      <c r="BL55" s="62"/>
      <c r="BM55" s="143"/>
      <c r="BN55" s="13">
        <f t="shared" si="15"/>
        <v>10</v>
      </c>
      <c r="BO55" s="62"/>
      <c r="BP55" s="143"/>
      <c r="BQ55" s="13">
        <f t="shared" si="16"/>
        <v>10</v>
      </c>
      <c r="BR55" s="62"/>
      <c r="BS55" s="143"/>
      <c r="BT55" s="13">
        <f t="shared" si="17"/>
        <v>10</v>
      </c>
      <c r="BU55" s="62"/>
      <c r="BV55" s="143"/>
      <c r="BW55" s="13">
        <f t="shared" si="18"/>
        <v>10</v>
      </c>
      <c r="BX55" s="62"/>
      <c r="BY55" s="143"/>
      <c r="BZ55" s="13">
        <f t="shared" si="19"/>
        <v>10</v>
      </c>
      <c r="CA55" s="62"/>
      <c r="CB55" s="143"/>
      <c r="CC55" s="13">
        <f t="shared" si="20"/>
        <v>10</v>
      </c>
      <c r="CD55" s="62"/>
      <c r="CE55" s="143"/>
      <c r="CF55" s="13">
        <f t="shared" si="21"/>
        <v>10</v>
      </c>
      <c r="CG55" s="62"/>
      <c r="CH55" s="143"/>
      <c r="CI55" s="13">
        <f t="shared" si="31"/>
        <v>10</v>
      </c>
      <c r="CJ55" s="62"/>
      <c r="CK55" s="143"/>
      <c r="CL55" s="13">
        <f t="shared" si="32"/>
        <v>10</v>
      </c>
      <c r="CM55" s="62"/>
      <c r="CN55" s="143"/>
      <c r="CO55" s="13">
        <f t="shared" si="22"/>
        <v>10</v>
      </c>
      <c r="CP55" s="62"/>
      <c r="CQ55" s="143"/>
      <c r="CR55" s="13">
        <f t="shared" si="33"/>
        <v>10</v>
      </c>
      <c r="CS55" s="62"/>
      <c r="CT55" s="143"/>
      <c r="CU55" s="14">
        <f t="shared" si="23"/>
        <v>10</v>
      </c>
      <c r="CV55" s="5">
        <f t="shared" si="36"/>
        <v>0</v>
      </c>
      <c r="CW55" s="4">
        <f t="shared" si="36"/>
        <v>0</v>
      </c>
      <c r="CX55" s="6">
        <f t="shared" si="25"/>
        <v>10</v>
      </c>
      <c r="CY55" s="162">
        <v>105</v>
      </c>
      <c r="CZ55" s="171">
        <f t="shared" si="26"/>
        <v>1050</v>
      </c>
      <c r="DB55" s="2">
        <f t="shared" si="34"/>
        <v>10</v>
      </c>
      <c r="DC55" s="61"/>
      <c r="DD55" s="143"/>
      <c r="DE55" s="149">
        <f t="shared" si="35"/>
        <v>10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3</v>
      </c>
      <c r="G56" s="62"/>
      <c r="H56" s="143"/>
      <c r="I56" s="13">
        <f t="shared" si="0"/>
        <v>3</v>
      </c>
      <c r="J56" s="62"/>
      <c r="K56" s="143"/>
      <c r="L56" s="13">
        <f t="shared" si="1"/>
        <v>3</v>
      </c>
      <c r="M56" s="62"/>
      <c r="N56" s="143">
        <v>2</v>
      </c>
      <c r="O56" s="13">
        <f t="shared" si="2"/>
        <v>1</v>
      </c>
      <c r="P56" s="62"/>
      <c r="Q56" s="143"/>
      <c r="R56" s="30">
        <f t="shared" si="3"/>
        <v>1</v>
      </c>
      <c r="S56" s="62"/>
      <c r="T56" s="143"/>
      <c r="U56" s="13">
        <f t="shared" si="4"/>
        <v>1</v>
      </c>
      <c r="V56" s="62"/>
      <c r="W56" s="143"/>
      <c r="X56" s="13">
        <f t="shared" si="5"/>
        <v>1</v>
      </c>
      <c r="Y56" s="62"/>
      <c r="Z56" s="143"/>
      <c r="AA56" s="13">
        <f t="shared" si="27"/>
        <v>1</v>
      </c>
      <c r="AB56" s="62"/>
      <c r="AC56" s="143"/>
      <c r="AD56" s="13">
        <f t="shared" si="28"/>
        <v>1</v>
      </c>
      <c r="AE56" s="62"/>
      <c r="AF56" s="143"/>
      <c r="AG56" s="13">
        <f t="shared" si="29"/>
        <v>1</v>
      </c>
      <c r="AH56" s="62"/>
      <c r="AI56" s="143"/>
      <c r="AJ56" s="13">
        <f t="shared" si="30"/>
        <v>1</v>
      </c>
      <c r="AK56" s="62"/>
      <c r="AL56" s="143"/>
      <c r="AM56" s="13">
        <f t="shared" si="6"/>
        <v>1</v>
      </c>
      <c r="AN56" s="62"/>
      <c r="AO56" s="143"/>
      <c r="AP56" s="13">
        <f t="shared" si="7"/>
        <v>1</v>
      </c>
      <c r="AQ56" s="62"/>
      <c r="AR56" s="143"/>
      <c r="AS56" s="13">
        <f t="shared" si="8"/>
        <v>1</v>
      </c>
      <c r="AT56" s="62"/>
      <c r="AU56" s="143"/>
      <c r="AV56" s="13">
        <f t="shared" si="9"/>
        <v>1</v>
      </c>
      <c r="AW56" s="62"/>
      <c r="AX56" s="143"/>
      <c r="AY56" s="13">
        <f t="shared" si="10"/>
        <v>1</v>
      </c>
      <c r="AZ56" s="62"/>
      <c r="BA56" s="143"/>
      <c r="BB56" s="13">
        <f t="shared" si="11"/>
        <v>1</v>
      </c>
      <c r="BC56" s="62"/>
      <c r="BD56" s="143"/>
      <c r="BE56" s="13">
        <f t="shared" si="12"/>
        <v>1</v>
      </c>
      <c r="BF56" s="62"/>
      <c r="BG56" s="143"/>
      <c r="BH56" s="13">
        <f t="shared" si="13"/>
        <v>1</v>
      </c>
      <c r="BI56" s="62"/>
      <c r="BJ56" s="143"/>
      <c r="BK56" s="13">
        <f t="shared" si="14"/>
        <v>1</v>
      </c>
      <c r="BL56" s="62"/>
      <c r="BM56" s="143"/>
      <c r="BN56" s="13">
        <f t="shared" si="15"/>
        <v>1</v>
      </c>
      <c r="BO56" s="62"/>
      <c r="BP56" s="143"/>
      <c r="BQ56" s="13">
        <f t="shared" si="16"/>
        <v>1</v>
      </c>
      <c r="BR56" s="62"/>
      <c r="BS56" s="143"/>
      <c r="BT56" s="13">
        <f t="shared" si="17"/>
        <v>1</v>
      </c>
      <c r="BU56" s="62"/>
      <c r="BV56" s="143"/>
      <c r="BW56" s="13">
        <f t="shared" si="18"/>
        <v>1</v>
      </c>
      <c r="BX56" s="62"/>
      <c r="BY56" s="143"/>
      <c r="BZ56" s="13">
        <f t="shared" si="19"/>
        <v>1</v>
      </c>
      <c r="CA56" s="62"/>
      <c r="CB56" s="143"/>
      <c r="CC56" s="13">
        <f t="shared" si="20"/>
        <v>1</v>
      </c>
      <c r="CD56" s="62"/>
      <c r="CE56" s="143"/>
      <c r="CF56" s="13">
        <f t="shared" si="21"/>
        <v>1</v>
      </c>
      <c r="CG56" s="62"/>
      <c r="CH56" s="143"/>
      <c r="CI56" s="13">
        <f t="shared" si="31"/>
        <v>1</v>
      </c>
      <c r="CJ56" s="62"/>
      <c r="CK56" s="143"/>
      <c r="CL56" s="13">
        <f t="shared" si="32"/>
        <v>1</v>
      </c>
      <c r="CM56" s="62"/>
      <c r="CN56" s="143"/>
      <c r="CO56" s="13">
        <f t="shared" si="22"/>
        <v>1</v>
      </c>
      <c r="CP56" s="62"/>
      <c r="CQ56" s="143"/>
      <c r="CR56" s="13">
        <f t="shared" si="33"/>
        <v>1</v>
      </c>
      <c r="CS56" s="62"/>
      <c r="CT56" s="143"/>
      <c r="CU56" s="14">
        <f t="shared" si="23"/>
        <v>1</v>
      </c>
      <c r="CV56" s="5">
        <f t="shared" si="36"/>
        <v>0</v>
      </c>
      <c r="CW56" s="4">
        <f t="shared" si="36"/>
        <v>2</v>
      </c>
      <c r="CX56" s="6">
        <f t="shared" si="25"/>
        <v>1</v>
      </c>
      <c r="CY56" s="162">
        <v>0</v>
      </c>
      <c r="CZ56" s="171">
        <f t="shared" si="26"/>
        <v>0</v>
      </c>
      <c r="DB56" s="2">
        <f t="shared" si="34"/>
        <v>1</v>
      </c>
      <c r="DC56" s="61"/>
      <c r="DD56" s="143"/>
      <c r="DE56" s="149">
        <f t="shared" si="35"/>
        <v>1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4.5999999999999996</v>
      </c>
      <c r="G58" s="62"/>
      <c r="H58" s="143"/>
      <c r="I58" s="13">
        <f t="shared" si="0"/>
        <v>4.5999999999999996</v>
      </c>
      <c r="J58" s="62"/>
      <c r="K58" s="143"/>
      <c r="L58" s="13">
        <f t="shared" si="1"/>
        <v>4.5999999999999996</v>
      </c>
      <c r="M58" s="62">
        <v>10</v>
      </c>
      <c r="N58" s="143"/>
      <c r="O58" s="13">
        <f t="shared" si="2"/>
        <v>14.6</v>
      </c>
      <c r="P58" s="62"/>
      <c r="Q58" s="143"/>
      <c r="R58" s="13">
        <f t="shared" si="3"/>
        <v>14.6</v>
      </c>
      <c r="S58" s="62"/>
      <c r="T58" s="143">
        <f>1.5+2.4+1.6</f>
        <v>5.5</v>
      </c>
      <c r="U58" s="13">
        <f t="shared" si="4"/>
        <v>9.1</v>
      </c>
      <c r="V58" s="62"/>
      <c r="W58" s="143"/>
      <c r="X58" s="13">
        <f t="shared" si="5"/>
        <v>9.1</v>
      </c>
      <c r="Y58" s="62"/>
      <c r="Z58" s="143"/>
      <c r="AA58" s="13">
        <f t="shared" si="27"/>
        <v>9.1</v>
      </c>
      <c r="AB58" s="62"/>
      <c r="AC58" s="143"/>
      <c r="AD58" s="13">
        <f t="shared" si="28"/>
        <v>9.1</v>
      </c>
      <c r="AE58" s="62"/>
      <c r="AF58" s="143"/>
      <c r="AG58" s="13">
        <f t="shared" si="29"/>
        <v>9.1</v>
      </c>
      <c r="AH58" s="62"/>
      <c r="AI58" s="143"/>
      <c r="AJ58" s="13">
        <f t="shared" si="30"/>
        <v>9.1</v>
      </c>
      <c r="AK58" s="62"/>
      <c r="AL58" s="143"/>
      <c r="AM58" s="13">
        <f t="shared" si="6"/>
        <v>9.1</v>
      </c>
      <c r="AN58" s="62"/>
      <c r="AO58" s="143"/>
      <c r="AP58" s="13">
        <f t="shared" si="7"/>
        <v>9.1</v>
      </c>
      <c r="AQ58" s="62"/>
      <c r="AR58" s="143"/>
      <c r="AS58" s="13">
        <f t="shared" si="8"/>
        <v>9.1</v>
      </c>
      <c r="AT58" s="62"/>
      <c r="AU58" s="143"/>
      <c r="AV58" s="13">
        <f t="shared" si="9"/>
        <v>9.1</v>
      </c>
      <c r="AW58" s="62"/>
      <c r="AX58" s="143"/>
      <c r="AY58" s="13">
        <f t="shared" si="10"/>
        <v>9.1</v>
      </c>
      <c r="AZ58" s="62"/>
      <c r="BA58" s="143"/>
      <c r="BB58" s="13">
        <f t="shared" si="11"/>
        <v>9.1</v>
      </c>
      <c r="BC58" s="62"/>
      <c r="BD58" s="143"/>
      <c r="BE58" s="13">
        <f t="shared" si="12"/>
        <v>9.1</v>
      </c>
      <c r="BF58" s="62"/>
      <c r="BG58" s="143"/>
      <c r="BH58" s="13">
        <f t="shared" si="13"/>
        <v>9.1</v>
      </c>
      <c r="BI58" s="62"/>
      <c r="BJ58" s="143"/>
      <c r="BK58" s="13">
        <f t="shared" si="14"/>
        <v>9.1</v>
      </c>
      <c r="BL58" s="62"/>
      <c r="BM58" s="143"/>
      <c r="BN58" s="13">
        <f t="shared" si="15"/>
        <v>9.1</v>
      </c>
      <c r="BO58" s="62"/>
      <c r="BP58" s="143"/>
      <c r="BQ58" s="13">
        <f t="shared" si="16"/>
        <v>9.1</v>
      </c>
      <c r="BR58" s="62"/>
      <c r="BS58" s="143"/>
      <c r="BT58" s="13">
        <f t="shared" si="17"/>
        <v>9.1</v>
      </c>
      <c r="BU58" s="62"/>
      <c r="BV58" s="143"/>
      <c r="BW58" s="13">
        <f t="shared" si="18"/>
        <v>9.1</v>
      </c>
      <c r="BX58" s="62"/>
      <c r="BY58" s="143"/>
      <c r="BZ58" s="13">
        <f t="shared" si="19"/>
        <v>9.1</v>
      </c>
      <c r="CA58" s="62"/>
      <c r="CB58" s="143"/>
      <c r="CC58" s="13">
        <f t="shared" si="20"/>
        <v>9.1</v>
      </c>
      <c r="CD58" s="62"/>
      <c r="CE58" s="143"/>
      <c r="CF58" s="13">
        <f t="shared" si="21"/>
        <v>9.1</v>
      </c>
      <c r="CG58" s="62"/>
      <c r="CH58" s="143"/>
      <c r="CI58" s="13">
        <f t="shared" si="31"/>
        <v>9.1</v>
      </c>
      <c r="CJ58" s="62"/>
      <c r="CK58" s="143"/>
      <c r="CL58" s="13">
        <f t="shared" si="32"/>
        <v>9.1</v>
      </c>
      <c r="CM58" s="62"/>
      <c r="CN58" s="143"/>
      <c r="CO58" s="13">
        <f t="shared" si="22"/>
        <v>9.1</v>
      </c>
      <c r="CP58" s="62"/>
      <c r="CQ58" s="143"/>
      <c r="CR58" s="13">
        <f t="shared" si="33"/>
        <v>9.1</v>
      </c>
      <c r="CS58" s="62"/>
      <c r="CT58" s="143"/>
      <c r="CU58" s="14">
        <f t="shared" si="23"/>
        <v>9.1</v>
      </c>
      <c r="CV58" s="5">
        <f t="shared" si="36"/>
        <v>10</v>
      </c>
      <c r="CW58" s="4">
        <f t="shared" si="36"/>
        <v>5.5</v>
      </c>
      <c r="CX58" s="6">
        <f t="shared" si="25"/>
        <v>9.1</v>
      </c>
      <c r="CY58" s="162">
        <v>460</v>
      </c>
      <c r="CZ58" s="171">
        <f t="shared" si="26"/>
        <v>4186</v>
      </c>
      <c r="DB58" s="2">
        <f t="shared" si="34"/>
        <v>9.1</v>
      </c>
      <c r="DC58" s="61"/>
      <c r="DD58" s="143"/>
      <c r="DE58" s="149">
        <f t="shared" si="35"/>
        <v>9.1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2</v>
      </c>
      <c r="G59" s="62"/>
      <c r="H59" s="143"/>
      <c r="I59" s="13">
        <f t="shared" si="0"/>
        <v>2</v>
      </c>
      <c r="J59" s="62"/>
      <c r="K59" s="143"/>
      <c r="L59" s="13">
        <f t="shared" si="1"/>
        <v>2</v>
      </c>
      <c r="M59" s="62"/>
      <c r="N59" s="143"/>
      <c r="O59" s="13">
        <f t="shared" si="2"/>
        <v>2</v>
      </c>
      <c r="P59" s="62"/>
      <c r="Q59" s="143"/>
      <c r="R59" s="30">
        <f t="shared" si="3"/>
        <v>2</v>
      </c>
      <c r="S59" s="62"/>
      <c r="T59" s="143">
        <f>2</f>
        <v>2</v>
      </c>
      <c r="U59" s="13">
        <f t="shared" si="4"/>
        <v>0</v>
      </c>
      <c r="V59" s="62"/>
      <c r="W59" s="143"/>
      <c r="X59" s="13">
        <f t="shared" si="5"/>
        <v>0</v>
      </c>
      <c r="Y59" s="62"/>
      <c r="Z59" s="143"/>
      <c r="AA59" s="13">
        <f t="shared" si="27"/>
        <v>0</v>
      </c>
      <c r="AB59" s="62"/>
      <c r="AC59" s="143"/>
      <c r="AD59" s="13">
        <f t="shared" si="28"/>
        <v>0</v>
      </c>
      <c r="AE59" s="62"/>
      <c r="AF59" s="143"/>
      <c r="AG59" s="13">
        <f t="shared" si="29"/>
        <v>0</v>
      </c>
      <c r="AH59" s="62"/>
      <c r="AI59" s="143"/>
      <c r="AJ59" s="13">
        <f t="shared" si="30"/>
        <v>0</v>
      </c>
      <c r="AK59" s="62"/>
      <c r="AL59" s="143"/>
      <c r="AM59" s="13">
        <f t="shared" si="6"/>
        <v>0</v>
      </c>
      <c r="AN59" s="62"/>
      <c r="AO59" s="143"/>
      <c r="AP59" s="13">
        <f t="shared" si="7"/>
        <v>0</v>
      </c>
      <c r="AQ59" s="62"/>
      <c r="AR59" s="143"/>
      <c r="AS59" s="13">
        <f t="shared" si="8"/>
        <v>0</v>
      </c>
      <c r="AT59" s="62"/>
      <c r="AU59" s="143"/>
      <c r="AV59" s="13">
        <f t="shared" si="9"/>
        <v>0</v>
      </c>
      <c r="AW59" s="62"/>
      <c r="AX59" s="143"/>
      <c r="AY59" s="13">
        <f t="shared" si="10"/>
        <v>0</v>
      </c>
      <c r="AZ59" s="62"/>
      <c r="BA59" s="143"/>
      <c r="BB59" s="13">
        <f t="shared" si="11"/>
        <v>0</v>
      </c>
      <c r="BC59" s="62"/>
      <c r="BD59" s="143"/>
      <c r="BE59" s="13">
        <f t="shared" si="12"/>
        <v>0</v>
      </c>
      <c r="BF59" s="62"/>
      <c r="BG59" s="143"/>
      <c r="BH59" s="13">
        <f t="shared" si="13"/>
        <v>0</v>
      </c>
      <c r="BI59" s="62"/>
      <c r="BJ59" s="143"/>
      <c r="BK59" s="13">
        <f t="shared" si="14"/>
        <v>0</v>
      </c>
      <c r="BL59" s="62"/>
      <c r="BM59" s="143"/>
      <c r="BN59" s="13">
        <f t="shared" si="15"/>
        <v>0</v>
      </c>
      <c r="BO59" s="62"/>
      <c r="BP59" s="143"/>
      <c r="BQ59" s="13">
        <f t="shared" si="16"/>
        <v>0</v>
      </c>
      <c r="BR59" s="62"/>
      <c r="BS59" s="143"/>
      <c r="BT59" s="13">
        <f t="shared" si="17"/>
        <v>0</v>
      </c>
      <c r="BU59" s="62"/>
      <c r="BV59" s="143"/>
      <c r="BW59" s="13">
        <f t="shared" si="18"/>
        <v>0</v>
      </c>
      <c r="BX59" s="62"/>
      <c r="BY59" s="143"/>
      <c r="BZ59" s="13">
        <f t="shared" si="19"/>
        <v>0</v>
      </c>
      <c r="CA59" s="62"/>
      <c r="CB59" s="143"/>
      <c r="CC59" s="13">
        <f t="shared" si="20"/>
        <v>0</v>
      </c>
      <c r="CD59" s="62"/>
      <c r="CE59" s="143"/>
      <c r="CF59" s="13">
        <f t="shared" si="21"/>
        <v>0</v>
      </c>
      <c r="CG59" s="62"/>
      <c r="CH59" s="143"/>
      <c r="CI59" s="13">
        <f t="shared" si="31"/>
        <v>0</v>
      </c>
      <c r="CJ59" s="62"/>
      <c r="CK59" s="143"/>
      <c r="CL59" s="13">
        <f t="shared" si="32"/>
        <v>0</v>
      </c>
      <c r="CM59" s="62"/>
      <c r="CN59" s="143"/>
      <c r="CO59" s="13">
        <f t="shared" si="22"/>
        <v>0</v>
      </c>
      <c r="CP59" s="62"/>
      <c r="CQ59" s="143"/>
      <c r="CR59" s="13">
        <f t="shared" si="33"/>
        <v>0</v>
      </c>
      <c r="CS59" s="62"/>
      <c r="CT59" s="143"/>
      <c r="CU59" s="14">
        <f t="shared" si="23"/>
        <v>0</v>
      </c>
      <c r="CV59" s="5">
        <f t="shared" si="36"/>
        <v>0</v>
      </c>
      <c r="CW59" s="4">
        <f t="shared" si="36"/>
        <v>2</v>
      </c>
      <c r="CX59" s="6">
        <f t="shared" si="25"/>
        <v>0</v>
      </c>
      <c r="CY59" s="162">
        <v>214</v>
      </c>
      <c r="CZ59" s="171">
        <f t="shared" si="26"/>
        <v>0</v>
      </c>
      <c r="DB59" s="2">
        <f t="shared" si="34"/>
        <v>0</v>
      </c>
      <c r="DC59" s="61"/>
      <c r="DD59" s="143"/>
      <c r="DE59" s="149">
        <f t="shared" si="35"/>
        <v>0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14</v>
      </c>
      <c r="G60" s="62"/>
      <c r="H60" s="143"/>
      <c r="I60" s="13">
        <f t="shared" si="0"/>
        <v>14</v>
      </c>
      <c r="J60" s="62"/>
      <c r="K60" s="143"/>
      <c r="L60" s="13">
        <f t="shared" si="1"/>
        <v>14</v>
      </c>
      <c r="M60" s="62"/>
      <c r="N60" s="143"/>
      <c r="O60" s="13">
        <f t="shared" si="2"/>
        <v>14</v>
      </c>
      <c r="P60" s="62"/>
      <c r="Q60" s="143"/>
      <c r="R60" s="30">
        <f t="shared" si="3"/>
        <v>14</v>
      </c>
      <c r="S60" s="62"/>
      <c r="T60" s="143">
        <f>4</f>
        <v>4</v>
      </c>
      <c r="U60" s="13">
        <f t="shared" si="4"/>
        <v>10</v>
      </c>
      <c r="V60" s="62"/>
      <c r="W60" s="143"/>
      <c r="X60" s="13">
        <f t="shared" si="5"/>
        <v>10</v>
      </c>
      <c r="Y60" s="62"/>
      <c r="Z60" s="143"/>
      <c r="AA60" s="13">
        <f t="shared" si="27"/>
        <v>10</v>
      </c>
      <c r="AB60" s="62"/>
      <c r="AC60" s="143"/>
      <c r="AD60" s="13">
        <f t="shared" si="28"/>
        <v>10</v>
      </c>
      <c r="AE60" s="62"/>
      <c r="AF60" s="143"/>
      <c r="AG60" s="13">
        <f t="shared" si="29"/>
        <v>10</v>
      </c>
      <c r="AH60" s="62"/>
      <c r="AI60" s="143"/>
      <c r="AJ60" s="13">
        <f t="shared" si="30"/>
        <v>10</v>
      </c>
      <c r="AK60" s="62"/>
      <c r="AL60" s="143"/>
      <c r="AM60" s="13">
        <f t="shared" si="6"/>
        <v>10</v>
      </c>
      <c r="AN60" s="62"/>
      <c r="AO60" s="143"/>
      <c r="AP60" s="13">
        <f t="shared" si="7"/>
        <v>10</v>
      </c>
      <c r="AQ60" s="62"/>
      <c r="AR60" s="143"/>
      <c r="AS60" s="13">
        <f t="shared" si="8"/>
        <v>10</v>
      </c>
      <c r="AT60" s="62"/>
      <c r="AU60" s="143"/>
      <c r="AV60" s="13">
        <f t="shared" si="9"/>
        <v>10</v>
      </c>
      <c r="AW60" s="62"/>
      <c r="AX60" s="143"/>
      <c r="AY60" s="13">
        <f t="shared" si="10"/>
        <v>10</v>
      </c>
      <c r="AZ60" s="62"/>
      <c r="BA60" s="143"/>
      <c r="BB60" s="13">
        <f t="shared" si="11"/>
        <v>10</v>
      </c>
      <c r="BC60" s="62"/>
      <c r="BD60" s="143"/>
      <c r="BE60" s="13">
        <f t="shared" si="12"/>
        <v>10</v>
      </c>
      <c r="BF60" s="62"/>
      <c r="BG60" s="143"/>
      <c r="BH60" s="13">
        <f t="shared" si="13"/>
        <v>10</v>
      </c>
      <c r="BI60" s="62"/>
      <c r="BJ60" s="143"/>
      <c r="BK60" s="13">
        <f t="shared" si="14"/>
        <v>10</v>
      </c>
      <c r="BL60" s="62"/>
      <c r="BM60" s="143"/>
      <c r="BN60" s="13">
        <f t="shared" si="15"/>
        <v>10</v>
      </c>
      <c r="BO60" s="62"/>
      <c r="BP60" s="143"/>
      <c r="BQ60" s="13">
        <f t="shared" si="16"/>
        <v>10</v>
      </c>
      <c r="BR60" s="62"/>
      <c r="BS60" s="143"/>
      <c r="BT60" s="13">
        <f t="shared" si="17"/>
        <v>10</v>
      </c>
      <c r="BU60" s="62"/>
      <c r="BV60" s="143"/>
      <c r="BW60" s="13">
        <f t="shared" si="18"/>
        <v>10</v>
      </c>
      <c r="BX60" s="62"/>
      <c r="BY60" s="143"/>
      <c r="BZ60" s="13">
        <f t="shared" si="19"/>
        <v>10</v>
      </c>
      <c r="CA60" s="62"/>
      <c r="CB60" s="143"/>
      <c r="CC60" s="13">
        <f t="shared" si="20"/>
        <v>10</v>
      </c>
      <c r="CD60" s="62"/>
      <c r="CE60" s="143"/>
      <c r="CF60" s="13">
        <f t="shared" si="21"/>
        <v>10</v>
      </c>
      <c r="CG60" s="62"/>
      <c r="CH60" s="143"/>
      <c r="CI60" s="13">
        <f t="shared" si="31"/>
        <v>10</v>
      </c>
      <c r="CJ60" s="62"/>
      <c r="CK60" s="143"/>
      <c r="CL60" s="13">
        <f t="shared" si="32"/>
        <v>10</v>
      </c>
      <c r="CM60" s="62"/>
      <c r="CN60" s="143"/>
      <c r="CO60" s="13">
        <f t="shared" si="22"/>
        <v>10</v>
      </c>
      <c r="CP60" s="62"/>
      <c r="CQ60" s="143"/>
      <c r="CR60" s="13">
        <f t="shared" si="33"/>
        <v>10</v>
      </c>
      <c r="CS60" s="62"/>
      <c r="CT60" s="143"/>
      <c r="CU60" s="14">
        <f t="shared" si="23"/>
        <v>10</v>
      </c>
      <c r="CV60" s="5">
        <f t="shared" si="36"/>
        <v>0</v>
      </c>
      <c r="CW60" s="4">
        <f t="shared" si="36"/>
        <v>4</v>
      </c>
      <c r="CX60" s="6">
        <f t="shared" si="25"/>
        <v>10</v>
      </c>
      <c r="CY60" s="162">
        <v>28</v>
      </c>
      <c r="CZ60" s="171">
        <f t="shared" si="26"/>
        <v>280</v>
      </c>
      <c r="DB60" s="2">
        <f t="shared" si="34"/>
        <v>10</v>
      </c>
      <c r="DC60" s="61"/>
      <c r="DD60" s="143"/>
      <c r="DE60" s="149">
        <f t="shared" si="35"/>
        <v>10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 t="s">
        <v>339</v>
      </c>
      <c r="E63" s="52" t="s">
        <v>26</v>
      </c>
      <c r="F63" s="14">
        <v>571</v>
      </c>
      <c r="G63" s="62"/>
      <c r="H63" s="143"/>
      <c r="I63" s="13">
        <f t="shared" si="0"/>
        <v>571</v>
      </c>
      <c r="J63" s="62"/>
      <c r="K63" s="143"/>
      <c r="L63" s="13">
        <f t="shared" si="1"/>
        <v>571</v>
      </c>
      <c r="M63" s="62"/>
      <c r="N63" s="143">
        <v>313</v>
      </c>
      <c r="O63" s="13">
        <f t="shared" si="2"/>
        <v>258</v>
      </c>
      <c r="P63" s="62"/>
      <c r="Q63" s="143"/>
      <c r="R63" s="30">
        <f t="shared" si="3"/>
        <v>258</v>
      </c>
      <c r="S63" s="62"/>
      <c r="T63" s="143">
        <f>25</f>
        <v>25</v>
      </c>
      <c r="U63" s="13">
        <f t="shared" si="4"/>
        <v>233</v>
      </c>
      <c r="V63" s="62"/>
      <c r="W63" s="143"/>
      <c r="X63" s="13">
        <f t="shared" si="5"/>
        <v>233</v>
      </c>
      <c r="Y63" s="62"/>
      <c r="Z63" s="143"/>
      <c r="AA63" s="13">
        <f t="shared" si="27"/>
        <v>233</v>
      </c>
      <c r="AB63" s="62"/>
      <c r="AC63" s="143"/>
      <c r="AD63" s="13">
        <f t="shared" si="28"/>
        <v>233</v>
      </c>
      <c r="AE63" s="62"/>
      <c r="AF63" s="143"/>
      <c r="AG63" s="13">
        <f t="shared" si="29"/>
        <v>233</v>
      </c>
      <c r="AH63" s="62"/>
      <c r="AI63" s="143"/>
      <c r="AJ63" s="13">
        <f t="shared" si="30"/>
        <v>233</v>
      </c>
      <c r="AK63" s="62"/>
      <c r="AL63" s="143"/>
      <c r="AM63" s="13">
        <f t="shared" si="6"/>
        <v>233</v>
      </c>
      <c r="AN63" s="62"/>
      <c r="AO63" s="143"/>
      <c r="AP63" s="13">
        <f t="shared" si="7"/>
        <v>233</v>
      </c>
      <c r="AQ63" s="62"/>
      <c r="AR63" s="143"/>
      <c r="AS63" s="13">
        <f t="shared" si="8"/>
        <v>233</v>
      </c>
      <c r="AT63" s="62"/>
      <c r="AU63" s="143"/>
      <c r="AV63" s="13">
        <f t="shared" si="9"/>
        <v>233</v>
      </c>
      <c r="AW63" s="62"/>
      <c r="AX63" s="143"/>
      <c r="AY63" s="13">
        <f t="shared" si="10"/>
        <v>233</v>
      </c>
      <c r="AZ63" s="62"/>
      <c r="BA63" s="143"/>
      <c r="BB63" s="13">
        <f t="shared" si="11"/>
        <v>233</v>
      </c>
      <c r="BC63" s="62"/>
      <c r="BD63" s="143"/>
      <c r="BE63" s="13">
        <f t="shared" si="12"/>
        <v>233</v>
      </c>
      <c r="BF63" s="62"/>
      <c r="BG63" s="143"/>
      <c r="BH63" s="13">
        <f t="shared" si="13"/>
        <v>233</v>
      </c>
      <c r="BI63" s="62"/>
      <c r="BJ63" s="143"/>
      <c r="BK63" s="13">
        <f t="shared" si="14"/>
        <v>233</v>
      </c>
      <c r="BL63" s="62"/>
      <c r="BM63" s="143"/>
      <c r="BN63" s="13">
        <f t="shared" si="15"/>
        <v>233</v>
      </c>
      <c r="BO63" s="62"/>
      <c r="BP63" s="143"/>
      <c r="BQ63" s="13">
        <f t="shared" si="16"/>
        <v>233</v>
      </c>
      <c r="BR63" s="62"/>
      <c r="BS63" s="143"/>
      <c r="BT63" s="13">
        <f t="shared" si="17"/>
        <v>233</v>
      </c>
      <c r="BU63" s="62"/>
      <c r="BV63" s="143"/>
      <c r="BW63" s="13">
        <f t="shared" si="18"/>
        <v>233</v>
      </c>
      <c r="BX63" s="62"/>
      <c r="BY63" s="143"/>
      <c r="BZ63" s="13">
        <f t="shared" si="19"/>
        <v>233</v>
      </c>
      <c r="CA63" s="62"/>
      <c r="CB63" s="143"/>
      <c r="CC63" s="13">
        <f t="shared" si="20"/>
        <v>233</v>
      </c>
      <c r="CD63" s="62"/>
      <c r="CE63" s="143"/>
      <c r="CF63" s="13">
        <f t="shared" si="21"/>
        <v>233</v>
      </c>
      <c r="CG63" s="62"/>
      <c r="CH63" s="143"/>
      <c r="CI63" s="13">
        <f t="shared" si="31"/>
        <v>233</v>
      </c>
      <c r="CJ63" s="62"/>
      <c r="CK63" s="143"/>
      <c r="CL63" s="13">
        <f t="shared" si="32"/>
        <v>233</v>
      </c>
      <c r="CM63" s="62"/>
      <c r="CN63" s="143"/>
      <c r="CO63" s="13">
        <f t="shared" si="22"/>
        <v>233</v>
      </c>
      <c r="CP63" s="62"/>
      <c r="CQ63" s="143"/>
      <c r="CR63" s="13">
        <f t="shared" si="33"/>
        <v>233</v>
      </c>
      <c r="CS63" s="62"/>
      <c r="CT63" s="143"/>
      <c r="CU63" s="14">
        <f t="shared" si="23"/>
        <v>233</v>
      </c>
      <c r="CV63" s="5">
        <f t="shared" si="36"/>
        <v>0</v>
      </c>
      <c r="CW63" s="4">
        <f t="shared" si="36"/>
        <v>338</v>
      </c>
      <c r="CX63" s="6">
        <f t="shared" si="25"/>
        <v>233</v>
      </c>
      <c r="CY63" s="162">
        <v>43</v>
      </c>
      <c r="CZ63" s="171">
        <f t="shared" si="26"/>
        <v>10019</v>
      </c>
      <c r="DB63" s="2">
        <f t="shared" si="34"/>
        <v>233</v>
      </c>
      <c r="DC63" s="61"/>
      <c r="DD63" s="143"/>
      <c r="DE63" s="149">
        <f t="shared" si="35"/>
        <v>233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2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2"/>
      <c r="AL64" s="143"/>
      <c r="AM64" s="13">
        <f t="shared" si="6"/>
        <v>0</v>
      </c>
      <c r="AN64" s="62"/>
      <c r="AO64" s="143"/>
      <c r="AP64" s="13">
        <f t="shared" si="7"/>
        <v>0</v>
      </c>
      <c r="AQ64" s="62"/>
      <c r="AR64" s="143"/>
      <c r="AS64" s="13">
        <f t="shared" si="8"/>
        <v>0</v>
      </c>
      <c r="AT64" s="62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43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>
        <v>5</v>
      </c>
      <c r="N67" s="143"/>
      <c r="O67" s="13">
        <f t="shared" si="2"/>
        <v>5</v>
      </c>
      <c r="P67" s="62"/>
      <c r="Q67" s="143"/>
      <c r="R67" s="30">
        <f t="shared" si="3"/>
        <v>5</v>
      </c>
      <c r="S67" s="62"/>
      <c r="T67" s="143"/>
      <c r="U67" s="13">
        <f t="shared" si="4"/>
        <v>5</v>
      </c>
      <c r="V67" s="62"/>
      <c r="W67" s="143"/>
      <c r="X67" s="13">
        <f t="shared" si="5"/>
        <v>5</v>
      </c>
      <c r="Y67" s="62"/>
      <c r="Z67" s="143"/>
      <c r="AA67" s="13">
        <f t="shared" si="27"/>
        <v>5</v>
      </c>
      <c r="AB67" s="62"/>
      <c r="AC67" s="143"/>
      <c r="AD67" s="13">
        <f t="shared" si="28"/>
        <v>5</v>
      </c>
      <c r="AE67" s="62"/>
      <c r="AF67" s="143"/>
      <c r="AG67" s="13">
        <f t="shared" si="29"/>
        <v>5</v>
      </c>
      <c r="AH67" s="62"/>
      <c r="AI67" s="143"/>
      <c r="AJ67" s="13">
        <f t="shared" si="30"/>
        <v>5</v>
      </c>
      <c r="AK67" s="62"/>
      <c r="AL67" s="143"/>
      <c r="AM67" s="13">
        <f t="shared" si="6"/>
        <v>5</v>
      </c>
      <c r="AN67" s="62"/>
      <c r="AO67" s="143"/>
      <c r="AP67" s="13">
        <f t="shared" si="7"/>
        <v>5</v>
      </c>
      <c r="AQ67" s="62"/>
      <c r="AR67" s="143"/>
      <c r="AS67" s="13">
        <f t="shared" si="8"/>
        <v>5</v>
      </c>
      <c r="AT67" s="62"/>
      <c r="AU67" s="143"/>
      <c r="AV67" s="13">
        <f t="shared" si="9"/>
        <v>5</v>
      </c>
      <c r="AW67" s="62"/>
      <c r="AX67" s="143"/>
      <c r="AY67" s="13">
        <f t="shared" si="10"/>
        <v>5</v>
      </c>
      <c r="AZ67" s="62"/>
      <c r="BA67" s="143"/>
      <c r="BB67" s="13">
        <f t="shared" si="11"/>
        <v>5</v>
      </c>
      <c r="BC67" s="62"/>
      <c r="BD67" s="143"/>
      <c r="BE67" s="13">
        <f t="shared" si="12"/>
        <v>5</v>
      </c>
      <c r="BF67" s="62"/>
      <c r="BG67" s="143"/>
      <c r="BH67" s="13">
        <f t="shared" si="13"/>
        <v>5</v>
      </c>
      <c r="BI67" s="62"/>
      <c r="BJ67" s="143"/>
      <c r="BK67" s="13">
        <f t="shared" si="14"/>
        <v>5</v>
      </c>
      <c r="BL67" s="62"/>
      <c r="BM67" s="143"/>
      <c r="BN67" s="13">
        <f t="shared" si="15"/>
        <v>5</v>
      </c>
      <c r="BO67" s="62"/>
      <c r="BP67" s="143"/>
      <c r="BQ67" s="13">
        <f t="shared" si="16"/>
        <v>5</v>
      </c>
      <c r="BR67" s="62"/>
      <c r="BS67" s="143"/>
      <c r="BT67" s="13">
        <f t="shared" si="17"/>
        <v>5</v>
      </c>
      <c r="BU67" s="62"/>
      <c r="BV67" s="143"/>
      <c r="BW67" s="13">
        <f t="shared" si="18"/>
        <v>5</v>
      </c>
      <c r="BX67" s="62"/>
      <c r="BY67" s="143"/>
      <c r="BZ67" s="13">
        <f t="shared" si="19"/>
        <v>5</v>
      </c>
      <c r="CA67" s="62"/>
      <c r="CB67" s="143"/>
      <c r="CC67" s="13">
        <f t="shared" si="20"/>
        <v>5</v>
      </c>
      <c r="CD67" s="62"/>
      <c r="CE67" s="143"/>
      <c r="CF67" s="13">
        <f t="shared" si="21"/>
        <v>5</v>
      </c>
      <c r="CG67" s="62"/>
      <c r="CH67" s="143"/>
      <c r="CI67" s="13">
        <f t="shared" si="31"/>
        <v>5</v>
      </c>
      <c r="CJ67" s="62"/>
      <c r="CK67" s="143"/>
      <c r="CL67" s="13">
        <f t="shared" si="32"/>
        <v>5</v>
      </c>
      <c r="CM67" s="62"/>
      <c r="CN67" s="143"/>
      <c r="CO67" s="13">
        <f t="shared" si="22"/>
        <v>5</v>
      </c>
      <c r="CP67" s="62"/>
      <c r="CQ67" s="143"/>
      <c r="CR67" s="13">
        <f t="shared" si="33"/>
        <v>5</v>
      </c>
      <c r="CS67" s="62"/>
      <c r="CT67" s="143"/>
      <c r="CU67" s="14">
        <f t="shared" si="23"/>
        <v>5</v>
      </c>
      <c r="CV67" s="5">
        <f t="shared" si="36"/>
        <v>5</v>
      </c>
      <c r="CW67" s="4">
        <f t="shared" si="36"/>
        <v>0</v>
      </c>
      <c r="CX67" s="6">
        <f t="shared" si="25"/>
        <v>5</v>
      </c>
      <c r="CY67" s="162">
        <v>0</v>
      </c>
      <c r="CZ67" s="171">
        <f t="shared" si="26"/>
        <v>0</v>
      </c>
      <c r="DB67" s="2">
        <f t="shared" si="34"/>
        <v>5</v>
      </c>
      <c r="DC67" s="62"/>
      <c r="DD67" s="143"/>
      <c r="DE67" s="149">
        <f t="shared" si="35"/>
        <v>5</v>
      </c>
    </row>
    <row r="68" spans="1:109" s="18" customFormat="1" ht="15.75" customHeight="1">
      <c r="A68" s="33"/>
      <c r="B68" s="3" t="s">
        <v>329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4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6" si="38">BW69+BX69-BY69</f>
        <v>0</v>
      </c>
      <c r="CA69" s="62"/>
      <c r="CB69" s="143"/>
      <c r="CC69" s="13">
        <f t="shared" ref="CC69:CC86" si="39">BZ69+CA69-CB69</f>
        <v>0</v>
      </c>
      <c r="CD69" s="62"/>
      <c r="CE69" s="143"/>
      <c r="CF69" s="13">
        <f t="shared" ref="CF69:CF86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6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4" si="42">CR69+CS69-CT69</f>
        <v>0</v>
      </c>
      <c r="CV69" s="5">
        <f t="shared" ref="CV69:CW94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4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0</v>
      </c>
      <c r="G70" s="62"/>
      <c r="H70" s="143"/>
      <c r="I70" s="13">
        <f>F70+G70-H70</f>
        <v>0</v>
      </c>
      <c r="J70" s="62"/>
      <c r="K70" s="143"/>
      <c r="L70" s="13">
        <f>I70+J70-K70</f>
        <v>0</v>
      </c>
      <c r="M70" s="62"/>
      <c r="N70" s="143"/>
      <c r="O70" s="13">
        <f>L70+M70-N70</f>
        <v>0</v>
      </c>
      <c r="P70" s="62"/>
      <c r="Q70" s="143"/>
      <c r="R70" s="30">
        <f>O70+P70-Q70</f>
        <v>0</v>
      </c>
      <c r="S70" s="62"/>
      <c r="T70" s="143"/>
      <c r="U70" s="13">
        <f>R70+S70-T70</f>
        <v>0</v>
      </c>
      <c r="V70" s="62"/>
      <c r="W70" s="143"/>
      <c r="X70" s="13">
        <f>U70+V70-W70</f>
        <v>0</v>
      </c>
      <c r="Y70" s="62"/>
      <c r="Z70" s="143"/>
      <c r="AA70" s="13">
        <f>X70+Y70-Z70</f>
        <v>0</v>
      </c>
      <c r="AB70" s="62"/>
      <c r="AC70" s="143"/>
      <c r="AD70" s="13">
        <f>AA70+AB70-AC70</f>
        <v>0</v>
      </c>
      <c r="AE70" s="62"/>
      <c r="AF70" s="143"/>
      <c r="AG70" s="13">
        <f>AD70+AE70-AF70</f>
        <v>0</v>
      </c>
      <c r="AH70" s="62"/>
      <c r="AI70" s="143"/>
      <c r="AJ70" s="13">
        <f>AG70+AH70-AI70</f>
        <v>0</v>
      </c>
      <c r="AK70" s="62"/>
      <c r="AL70" s="143"/>
      <c r="AM70" s="13">
        <f>AJ70+AK70-AL70</f>
        <v>0</v>
      </c>
      <c r="AN70" s="62"/>
      <c r="AO70" s="143"/>
      <c r="AP70" s="13">
        <f>AM70+AN70-AO70</f>
        <v>0</v>
      </c>
      <c r="AQ70" s="62"/>
      <c r="AR70" s="143"/>
      <c r="AS70" s="13">
        <f>AP70+AQ70-AR70</f>
        <v>0</v>
      </c>
      <c r="AT70" s="62"/>
      <c r="AU70" s="143"/>
      <c r="AV70" s="13">
        <f>AS70+AT70-AU70</f>
        <v>0</v>
      </c>
      <c r="AW70" s="62"/>
      <c r="AX70" s="143"/>
      <c r="AY70" s="13">
        <f>AV70+AW70-AX70</f>
        <v>0</v>
      </c>
      <c r="AZ70" s="62"/>
      <c r="BA70" s="143"/>
      <c r="BB70" s="13">
        <f>AY70+AZ70-BA70</f>
        <v>0</v>
      </c>
      <c r="BC70" s="62"/>
      <c r="BD70" s="143"/>
      <c r="BE70" s="13">
        <f>BB70+BC70-BD70</f>
        <v>0</v>
      </c>
      <c r="BF70" s="62"/>
      <c r="BG70" s="143"/>
      <c r="BH70" s="13">
        <f>BE70+BF70-BG70</f>
        <v>0</v>
      </c>
      <c r="BI70" s="62"/>
      <c r="BJ70" s="143"/>
      <c r="BK70" s="13">
        <f>BH70+BI70-BJ70</f>
        <v>0</v>
      </c>
      <c r="BL70" s="62"/>
      <c r="BM70" s="143"/>
      <c r="BN70" s="13">
        <f>BK70+BL70-BM70</f>
        <v>0</v>
      </c>
      <c r="BO70" s="62"/>
      <c r="BP70" s="143"/>
      <c r="BQ70" s="13">
        <f>BN70+BO70-BP70</f>
        <v>0</v>
      </c>
      <c r="BR70" s="62"/>
      <c r="BS70" s="143"/>
      <c r="BT70" s="13">
        <f t="shared" si="37"/>
        <v>0</v>
      </c>
      <c r="BU70" s="62"/>
      <c r="BV70" s="143"/>
      <c r="BW70" s="13">
        <f>BT70+BU70-BV70</f>
        <v>0</v>
      </c>
      <c r="BX70" s="62"/>
      <c r="BY70" s="143"/>
      <c r="BZ70" s="13">
        <f t="shared" si="38"/>
        <v>0</v>
      </c>
      <c r="CA70" s="62"/>
      <c r="CB70" s="143"/>
      <c r="CC70" s="13">
        <f t="shared" si="39"/>
        <v>0</v>
      </c>
      <c r="CD70" s="62"/>
      <c r="CE70" s="143"/>
      <c r="CF70" s="13">
        <f t="shared" si="40"/>
        <v>0</v>
      </c>
      <c r="CG70" s="62"/>
      <c r="CH70" s="143"/>
      <c r="CI70" s="13">
        <f t="shared" ref="CI70:CI86" si="46">CF70+CG70-CH70</f>
        <v>0</v>
      </c>
      <c r="CJ70" s="62"/>
      <c r="CK70" s="143"/>
      <c r="CL70" s="13">
        <f t="shared" ref="CL70:CL86" si="47">CI70+CJ70-CK70</f>
        <v>0</v>
      </c>
      <c r="CM70" s="62"/>
      <c r="CN70" s="143"/>
      <c r="CO70" s="13">
        <f t="shared" si="41"/>
        <v>0</v>
      </c>
      <c r="CP70" s="62"/>
      <c r="CQ70" s="143"/>
      <c r="CR70" s="13">
        <f t="shared" ref="CR70:CR86" si="48">CO70+CP70-CQ70</f>
        <v>0</v>
      </c>
      <c r="CS70" s="62"/>
      <c r="CT70" s="143"/>
      <c r="CU70" s="14">
        <f t="shared" si="42"/>
        <v>0</v>
      </c>
      <c r="CV70" s="5">
        <f t="shared" si="43"/>
        <v>0</v>
      </c>
      <c r="CW70" s="4">
        <f t="shared" si="43"/>
        <v>0</v>
      </c>
      <c r="CX70" s="6">
        <f t="shared" si="44"/>
        <v>0</v>
      </c>
      <c r="CY70" s="162">
        <v>0</v>
      </c>
      <c r="CZ70" s="171">
        <f t="shared" si="45"/>
        <v>0</v>
      </c>
      <c r="DB70" s="2">
        <f t="shared" ref="DB70:DB94" si="49">CU70</f>
        <v>0</v>
      </c>
      <c r="DC70" s="62"/>
      <c r="DD70" s="143"/>
      <c r="DE70" s="149">
        <f t="shared" si="35"/>
        <v>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12</v>
      </c>
      <c r="G71" s="62"/>
      <c r="H71" s="143"/>
      <c r="I71" s="13">
        <f>F71+G71-H71</f>
        <v>12</v>
      </c>
      <c r="J71" s="62"/>
      <c r="K71" s="143"/>
      <c r="L71" s="13">
        <f>I71+J71-K71</f>
        <v>12</v>
      </c>
      <c r="M71" s="62"/>
      <c r="N71" s="143"/>
      <c r="O71" s="13">
        <f>L71+M71-N71</f>
        <v>12</v>
      </c>
      <c r="P71" s="62"/>
      <c r="Q71" s="143"/>
      <c r="R71" s="13">
        <f>O71+P71-Q71</f>
        <v>12</v>
      </c>
      <c r="S71" s="62"/>
      <c r="T71" s="143">
        <f>2</f>
        <v>2</v>
      </c>
      <c r="U71" s="13">
        <f>R71+S71-T71</f>
        <v>10</v>
      </c>
      <c r="V71" s="62"/>
      <c r="W71" s="143"/>
      <c r="X71" s="13">
        <f>U71+V71-W71</f>
        <v>10</v>
      </c>
      <c r="Y71" s="62"/>
      <c r="Z71" s="143"/>
      <c r="AA71" s="13">
        <f>X71+Y71-Z71</f>
        <v>10</v>
      </c>
      <c r="AB71" s="62"/>
      <c r="AC71" s="143"/>
      <c r="AD71" s="13">
        <f>AA71+AB71-AC71</f>
        <v>10</v>
      </c>
      <c r="AE71" s="62"/>
      <c r="AF71" s="143"/>
      <c r="AG71" s="13">
        <f>AD71+AE71-AF71</f>
        <v>10</v>
      </c>
      <c r="AH71" s="62"/>
      <c r="AI71" s="143"/>
      <c r="AJ71" s="13">
        <f>AG71+AH71-AI71</f>
        <v>10</v>
      </c>
      <c r="AK71" s="62"/>
      <c r="AL71" s="143"/>
      <c r="AM71" s="13">
        <f>AJ71+AK71-AL71</f>
        <v>10</v>
      </c>
      <c r="AN71" s="62"/>
      <c r="AO71" s="143"/>
      <c r="AP71" s="13">
        <f>AM71+AN71-AO71</f>
        <v>10</v>
      </c>
      <c r="AQ71" s="62"/>
      <c r="AR71" s="143"/>
      <c r="AS71" s="13">
        <f>AP71+AQ71-AR71</f>
        <v>10</v>
      </c>
      <c r="AT71" s="62"/>
      <c r="AU71" s="143"/>
      <c r="AV71" s="13">
        <f>AS71+AT71-AU71</f>
        <v>10</v>
      </c>
      <c r="AW71" s="62"/>
      <c r="AX71" s="143"/>
      <c r="AY71" s="13">
        <f>AV71+AW71-AX71</f>
        <v>10</v>
      </c>
      <c r="AZ71" s="62"/>
      <c r="BA71" s="143"/>
      <c r="BB71" s="13">
        <f>AY71+AZ71-BA71</f>
        <v>10</v>
      </c>
      <c r="BC71" s="62"/>
      <c r="BD71" s="143"/>
      <c r="BE71" s="13">
        <f>BB71+BC71-BD71</f>
        <v>10</v>
      </c>
      <c r="BF71" s="62"/>
      <c r="BG71" s="143"/>
      <c r="BH71" s="13">
        <f>BE71+BF71-BG71</f>
        <v>10</v>
      </c>
      <c r="BI71" s="62"/>
      <c r="BJ71" s="143"/>
      <c r="BK71" s="13">
        <f>BH71+BI71-BJ71</f>
        <v>10</v>
      </c>
      <c r="BL71" s="62"/>
      <c r="BM71" s="143"/>
      <c r="BN71" s="13">
        <f>BK71+BL71-BM71</f>
        <v>10</v>
      </c>
      <c r="BO71" s="62"/>
      <c r="BP71" s="143"/>
      <c r="BQ71" s="13">
        <f>BN71+BO71-BP71</f>
        <v>10</v>
      </c>
      <c r="BR71" s="62"/>
      <c r="BS71" s="143"/>
      <c r="BT71" s="13">
        <f t="shared" si="37"/>
        <v>10</v>
      </c>
      <c r="BU71" s="62"/>
      <c r="BV71" s="143"/>
      <c r="BW71" s="13">
        <f>BT71+BU71-BV71</f>
        <v>10</v>
      </c>
      <c r="BX71" s="62"/>
      <c r="BY71" s="143"/>
      <c r="BZ71" s="13">
        <f t="shared" si="38"/>
        <v>10</v>
      </c>
      <c r="CA71" s="62"/>
      <c r="CB71" s="143"/>
      <c r="CC71" s="13">
        <f t="shared" si="39"/>
        <v>10</v>
      </c>
      <c r="CD71" s="62"/>
      <c r="CE71" s="143"/>
      <c r="CF71" s="13">
        <f t="shared" si="40"/>
        <v>10</v>
      </c>
      <c r="CG71" s="62"/>
      <c r="CH71" s="143"/>
      <c r="CI71" s="13">
        <f t="shared" si="46"/>
        <v>10</v>
      </c>
      <c r="CJ71" s="62"/>
      <c r="CK71" s="143"/>
      <c r="CL71" s="13">
        <f t="shared" si="47"/>
        <v>10</v>
      </c>
      <c r="CM71" s="62"/>
      <c r="CN71" s="143"/>
      <c r="CO71" s="13">
        <f t="shared" si="41"/>
        <v>10</v>
      </c>
      <c r="CP71" s="62"/>
      <c r="CQ71" s="143"/>
      <c r="CR71" s="13">
        <f t="shared" si="48"/>
        <v>10</v>
      </c>
      <c r="CS71" s="62"/>
      <c r="CT71" s="143"/>
      <c r="CU71" s="14">
        <f t="shared" si="42"/>
        <v>10</v>
      </c>
      <c r="CV71" s="5">
        <f t="shared" si="43"/>
        <v>0</v>
      </c>
      <c r="CW71" s="4">
        <f t="shared" si="43"/>
        <v>2</v>
      </c>
      <c r="CX71" s="6">
        <f t="shared" si="44"/>
        <v>10</v>
      </c>
      <c r="CY71" s="162">
        <v>163</v>
      </c>
      <c r="CZ71" s="171">
        <f t="shared" si="45"/>
        <v>1630</v>
      </c>
      <c r="DB71" s="2">
        <f t="shared" si="49"/>
        <v>10</v>
      </c>
      <c r="DC71" s="62"/>
      <c r="DD71" s="143"/>
      <c r="DE71" s="149">
        <f t="shared" ref="DE71:DE94" si="50">DC71+DB71-DD71</f>
        <v>10</v>
      </c>
    </row>
    <row r="72" spans="1:109" ht="15.75" customHeight="1">
      <c r="A72" s="33"/>
      <c r="B72" s="3" t="s">
        <v>265</v>
      </c>
      <c r="C72" s="104" t="s">
        <v>21</v>
      </c>
      <c r="D72" s="34"/>
      <c r="E72" s="34"/>
      <c r="F72" s="14">
        <v>100</v>
      </c>
      <c r="G72" s="61"/>
      <c r="H72" s="199"/>
      <c r="I72" s="13">
        <f>F72+G72-H72</f>
        <v>100</v>
      </c>
      <c r="J72" s="61"/>
      <c r="K72" s="199"/>
      <c r="L72" s="13">
        <f>I72+J72-K72</f>
        <v>100</v>
      </c>
      <c r="M72" s="61"/>
      <c r="N72" s="199"/>
      <c r="O72" s="13">
        <f>L72+M72-N72</f>
        <v>100</v>
      </c>
      <c r="P72" s="61"/>
      <c r="Q72" s="199"/>
      <c r="R72" s="30">
        <f>O72+P72-Q72</f>
        <v>100</v>
      </c>
      <c r="S72" s="61"/>
      <c r="T72" s="199">
        <f>60+40</f>
        <v>100</v>
      </c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/>
      <c r="AL72" s="199"/>
      <c r="AM72" s="13">
        <f>AJ72+AK72-AL72</f>
        <v>0</v>
      </c>
      <c r="AN72" s="61"/>
      <c r="AO72" s="199"/>
      <c r="AP72" s="13">
        <f>AM72+AN72-AO72</f>
        <v>0</v>
      </c>
      <c r="AQ72" s="61"/>
      <c r="AR72" s="199"/>
      <c r="AS72" s="13">
        <f>AP72+AQ72-AR72</f>
        <v>0</v>
      </c>
      <c r="AT72" s="61"/>
      <c r="AU72" s="199"/>
      <c r="AV72" s="13">
        <f>AS72+AT72-AU72</f>
        <v>0</v>
      </c>
      <c r="AW72" s="61"/>
      <c r="AX72" s="199"/>
      <c r="AY72" s="13">
        <f>AV72+AW72-AX72</f>
        <v>0</v>
      </c>
      <c r="AZ72" s="61"/>
      <c r="BA72" s="199"/>
      <c r="BB72" s="13">
        <f>AY72+AZ72-BA72</f>
        <v>0</v>
      </c>
      <c r="BC72" s="61"/>
      <c r="BD72" s="199"/>
      <c r="BE72" s="13">
        <f>BB72+BC72-BD72</f>
        <v>0</v>
      </c>
      <c r="BF72" s="61"/>
      <c r="BG72" s="199"/>
      <c r="BH72" s="13">
        <f>BE72+BF72-BG72</f>
        <v>0</v>
      </c>
      <c r="BI72" s="61"/>
      <c r="BJ72" s="199"/>
      <c r="BK72" s="13">
        <f>BH72+BI72-BJ72</f>
        <v>0</v>
      </c>
      <c r="BL72" s="61"/>
      <c r="BM72" s="199"/>
      <c r="BN72" s="13">
        <f>BK72+BL72-BM72</f>
        <v>0</v>
      </c>
      <c r="BO72" s="61"/>
      <c r="BP72" s="199"/>
      <c r="BQ72" s="13">
        <f>BN72+BO72-BP72</f>
        <v>0</v>
      </c>
      <c r="BR72" s="61"/>
      <c r="BS72" s="199"/>
      <c r="BT72" s="13">
        <f t="shared" si="37"/>
        <v>0</v>
      </c>
      <c r="BU72" s="61"/>
      <c r="BV72" s="199"/>
      <c r="BW72" s="13">
        <f>BT72+BU72-BV72</f>
        <v>0</v>
      </c>
      <c r="BX72" s="61"/>
      <c r="BY72" s="199"/>
      <c r="BZ72" s="13">
        <f t="shared" si="38"/>
        <v>0</v>
      </c>
      <c r="CA72" s="61"/>
      <c r="CB72" s="199"/>
      <c r="CC72" s="13">
        <f t="shared" si="39"/>
        <v>0</v>
      </c>
      <c r="CD72" s="61"/>
      <c r="CE72" s="199"/>
      <c r="CF72" s="13">
        <f t="shared" si="40"/>
        <v>0</v>
      </c>
      <c r="CG72" s="61"/>
      <c r="CH72" s="199"/>
      <c r="CI72" s="13">
        <f t="shared" si="46"/>
        <v>0</v>
      </c>
      <c r="CJ72" s="61"/>
      <c r="CK72" s="199"/>
      <c r="CL72" s="13">
        <f t="shared" si="47"/>
        <v>0</v>
      </c>
      <c r="CM72" s="61"/>
      <c r="CN72" s="199"/>
      <c r="CO72" s="13">
        <f t="shared" si="41"/>
        <v>0</v>
      </c>
      <c r="CP72" s="61"/>
      <c r="CQ72" s="199"/>
      <c r="CR72" s="13">
        <f t="shared" si="48"/>
        <v>0</v>
      </c>
      <c r="CS72" s="61"/>
      <c r="CT72" s="199"/>
      <c r="CU72" s="14">
        <f t="shared" si="42"/>
        <v>0</v>
      </c>
      <c r="CV72" s="46">
        <f t="shared" si="43"/>
        <v>0</v>
      </c>
      <c r="CW72" s="4">
        <f t="shared" si="43"/>
        <v>100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13</v>
      </c>
      <c r="G73" s="62"/>
      <c r="H73" s="143"/>
      <c r="I73" s="13">
        <f t="shared" ref="I73:I76" si="51">F73+G73-H73</f>
        <v>13</v>
      </c>
      <c r="J73" s="62"/>
      <c r="K73" s="143"/>
      <c r="L73" s="13">
        <f t="shared" ref="L73:L77" si="52">I73+J73-K73</f>
        <v>13</v>
      </c>
      <c r="M73" s="62"/>
      <c r="N73" s="143"/>
      <c r="O73" s="13">
        <f t="shared" ref="O73:O77" si="53">L73+M73-N73</f>
        <v>13</v>
      </c>
      <c r="P73" s="62"/>
      <c r="Q73" s="143"/>
      <c r="R73" s="30">
        <f t="shared" ref="R73:R77" si="54">O73+P73-Q73</f>
        <v>13</v>
      </c>
      <c r="S73" s="62"/>
      <c r="T73" s="143"/>
      <c r="U73" s="13">
        <f t="shared" ref="U73:U76" si="55">R73+S73-T73</f>
        <v>13</v>
      </c>
      <c r="V73" s="62"/>
      <c r="W73" s="143"/>
      <c r="X73" s="13">
        <f t="shared" ref="X73:X77" si="56">U73+V73-W73</f>
        <v>13</v>
      </c>
      <c r="Y73" s="62"/>
      <c r="Z73" s="143"/>
      <c r="AA73" s="13">
        <f t="shared" ref="AA73:AA94" si="57">X73+Y73-Z73</f>
        <v>13</v>
      </c>
      <c r="AB73" s="62"/>
      <c r="AC73" s="143"/>
      <c r="AD73" s="13">
        <f t="shared" ref="AD73:AD77" si="58">AA73+AB73-AC73</f>
        <v>13</v>
      </c>
      <c r="AE73" s="62"/>
      <c r="AF73" s="143"/>
      <c r="AG73" s="13">
        <f t="shared" ref="AG73:AG77" si="59">AD73+AE73-AF73</f>
        <v>13</v>
      </c>
      <c r="AH73" s="62"/>
      <c r="AI73" s="143"/>
      <c r="AJ73" s="13">
        <f t="shared" ref="AJ73:AJ77" si="60">AG73+AH73-AI73</f>
        <v>13</v>
      </c>
      <c r="AK73" s="62"/>
      <c r="AL73" s="143"/>
      <c r="AM73" s="13">
        <f t="shared" ref="AM73:AM77" si="61">AJ73+AK73-AL73</f>
        <v>13</v>
      </c>
      <c r="AN73" s="62"/>
      <c r="AO73" s="143"/>
      <c r="AP73" s="13">
        <f t="shared" ref="AP73:AP77" si="62">AM73+AN73-AO73</f>
        <v>13</v>
      </c>
      <c r="AQ73" s="62"/>
      <c r="AR73" s="143"/>
      <c r="AS73" s="13">
        <f t="shared" ref="AS73:AS77" si="63">AP73+AQ73-AR73</f>
        <v>13</v>
      </c>
      <c r="AT73" s="62"/>
      <c r="AU73" s="143"/>
      <c r="AV73" s="13">
        <f t="shared" ref="AV73:AV77" si="64">AS73+AT73-AU73</f>
        <v>13</v>
      </c>
      <c r="AW73" s="62"/>
      <c r="AX73" s="143"/>
      <c r="AY73" s="13">
        <f t="shared" ref="AY73:AY77" si="65">AV73+AW73-AX73</f>
        <v>13</v>
      </c>
      <c r="AZ73" s="62"/>
      <c r="BA73" s="143"/>
      <c r="BB73" s="13">
        <f t="shared" ref="BB73:BB77" si="66">AY73+AZ73-BA73</f>
        <v>13</v>
      </c>
      <c r="BC73" s="62"/>
      <c r="BD73" s="143"/>
      <c r="BE73" s="13">
        <f t="shared" ref="BE73:BE77" si="67">BB73+BC73-BD73</f>
        <v>13</v>
      </c>
      <c r="BF73" s="62"/>
      <c r="BG73" s="143"/>
      <c r="BH73" s="13">
        <f t="shared" ref="BH73:BH77" si="68">BE73+BF73-BG73</f>
        <v>13</v>
      </c>
      <c r="BI73" s="62"/>
      <c r="BJ73" s="143"/>
      <c r="BK73" s="13">
        <f t="shared" ref="BK73:BK77" si="69">BH73+BI73-BJ73</f>
        <v>13</v>
      </c>
      <c r="BL73" s="62"/>
      <c r="BM73" s="143"/>
      <c r="BN73" s="13">
        <f t="shared" ref="BN73:BN77" si="70">BK73+BL73-BM73</f>
        <v>13</v>
      </c>
      <c r="BO73" s="62"/>
      <c r="BP73" s="143"/>
      <c r="BQ73" s="13">
        <f t="shared" ref="BQ73:BQ77" si="71">BN73+BO73-BP73</f>
        <v>13</v>
      </c>
      <c r="BR73" s="62"/>
      <c r="BS73" s="143"/>
      <c r="BT73" s="13">
        <f t="shared" si="37"/>
        <v>13</v>
      </c>
      <c r="BU73" s="62"/>
      <c r="BV73" s="143"/>
      <c r="BW73" s="13">
        <f t="shared" ref="BW73:BW77" si="72">BT73+BU73-BV73</f>
        <v>13</v>
      </c>
      <c r="BX73" s="62"/>
      <c r="BY73" s="143"/>
      <c r="BZ73" s="13">
        <f t="shared" si="38"/>
        <v>13</v>
      </c>
      <c r="CA73" s="62"/>
      <c r="CB73" s="143"/>
      <c r="CC73" s="13">
        <f t="shared" si="39"/>
        <v>13</v>
      </c>
      <c r="CD73" s="62"/>
      <c r="CE73" s="143"/>
      <c r="CF73" s="13">
        <f t="shared" si="40"/>
        <v>13</v>
      </c>
      <c r="CG73" s="62"/>
      <c r="CH73" s="143"/>
      <c r="CI73" s="13">
        <f t="shared" si="46"/>
        <v>13</v>
      </c>
      <c r="CJ73" s="62"/>
      <c r="CK73" s="143"/>
      <c r="CL73" s="13">
        <f t="shared" si="47"/>
        <v>13</v>
      </c>
      <c r="CM73" s="62"/>
      <c r="CN73" s="143"/>
      <c r="CO73" s="13">
        <f t="shared" si="41"/>
        <v>13</v>
      </c>
      <c r="CP73" s="62"/>
      <c r="CQ73" s="143"/>
      <c r="CR73" s="13">
        <f t="shared" si="48"/>
        <v>13</v>
      </c>
      <c r="CS73" s="62"/>
      <c r="CT73" s="143"/>
      <c r="CU73" s="14">
        <f t="shared" si="42"/>
        <v>13</v>
      </c>
      <c r="CV73" s="5">
        <f t="shared" si="43"/>
        <v>0</v>
      </c>
      <c r="CW73" s="4">
        <f t="shared" si="43"/>
        <v>0</v>
      </c>
      <c r="CX73" s="6">
        <f t="shared" si="44"/>
        <v>13</v>
      </c>
      <c r="CY73" s="162">
        <v>214</v>
      </c>
      <c r="CZ73" s="171">
        <f t="shared" si="45"/>
        <v>2782</v>
      </c>
      <c r="DB73" s="2">
        <f t="shared" si="49"/>
        <v>13</v>
      </c>
      <c r="DC73" s="62"/>
      <c r="DD73" s="143"/>
      <c r="DE73" s="149">
        <f t="shared" si="50"/>
        <v>13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2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2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>I75+J75-K75</f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0</v>
      </c>
      <c r="CX75" s="6">
        <f t="shared" si="44"/>
        <v>0</v>
      </c>
      <c r="CY75" s="162">
        <v>650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3</v>
      </c>
      <c r="G76" s="62"/>
      <c r="H76" s="143"/>
      <c r="I76" s="13">
        <f t="shared" si="51"/>
        <v>3</v>
      </c>
      <c r="J76" s="62"/>
      <c r="K76" s="143"/>
      <c r="L76" s="13">
        <f t="shared" si="52"/>
        <v>3</v>
      </c>
      <c r="M76" s="62">
        <v>24</v>
      </c>
      <c r="N76" s="143">
        <v>24</v>
      </c>
      <c r="O76" s="13">
        <f t="shared" si="53"/>
        <v>3</v>
      </c>
      <c r="P76" s="62"/>
      <c r="Q76" s="143"/>
      <c r="R76" s="30">
        <f t="shared" si="54"/>
        <v>3</v>
      </c>
      <c r="S76" s="62"/>
      <c r="T76" s="143">
        <v>2</v>
      </c>
      <c r="U76" s="13">
        <f t="shared" si="55"/>
        <v>1</v>
      </c>
      <c r="V76" s="62"/>
      <c r="W76" s="143"/>
      <c r="X76" s="13">
        <f t="shared" si="56"/>
        <v>1</v>
      </c>
      <c r="Y76" s="62"/>
      <c r="Z76" s="143"/>
      <c r="AA76" s="13">
        <f t="shared" si="57"/>
        <v>1</v>
      </c>
      <c r="AB76" s="62"/>
      <c r="AC76" s="143"/>
      <c r="AD76" s="13">
        <f t="shared" si="58"/>
        <v>1</v>
      </c>
      <c r="AE76" s="62"/>
      <c r="AF76" s="143"/>
      <c r="AG76" s="13">
        <f t="shared" si="59"/>
        <v>1</v>
      </c>
      <c r="AH76" s="62"/>
      <c r="AI76" s="143"/>
      <c r="AJ76" s="13">
        <f t="shared" si="60"/>
        <v>1</v>
      </c>
      <c r="AK76" s="62"/>
      <c r="AL76" s="143"/>
      <c r="AM76" s="13">
        <f t="shared" si="61"/>
        <v>1</v>
      </c>
      <c r="AN76" s="62"/>
      <c r="AO76" s="143"/>
      <c r="AP76" s="13">
        <f t="shared" si="62"/>
        <v>1</v>
      </c>
      <c r="AQ76" s="62"/>
      <c r="AR76" s="143"/>
      <c r="AS76" s="13">
        <f t="shared" si="63"/>
        <v>1</v>
      </c>
      <c r="AT76" s="62"/>
      <c r="AU76" s="143"/>
      <c r="AV76" s="13">
        <f t="shared" si="64"/>
        <v>1</v>
      </c>
      <c r="AW76" s="62"/>
      <c r="AX76" s="143"/>
      <c r="AY76" s="13">
        <f t="shared" si="65"/>
        <v>1</v>
      </c>
      <c r="AZ76" s="62"/>
      <c r="BA76" s="143"/>
      <c r="BB76" s="13">
        <f t="shared" si="66"/>
        <v>1</v>
      </c>
      <c r="BC76" s="62"/>
      <c r="BD76" s="143"/>
      <c r="BE76" s="13">
        <f t="shared" si="67"/>
        <v>1</v>
      </c>
      <c r="BF76" s="62"/>
      <c r="BG76" s="143"/>
      <c r="BH76" s="13">
        <f t="shared" si="68"/>
        <v>1</v>
      </c>
      <c r="BI76" s="62"/>
      <c r="BJ76" s="143"/>
      <c r="BK76" s="13">
        <f t="shared" si="69"/>
        <v>1</v>
      </c>
      <c r="BL76" s="62"/>
      <c r="BM76" s="143"/>
      <c r="BN76" s="13">
        <f t="shared" si="70"/>
        <v>1</v>
      </c>
      <c r="BO76" s="62"/>
      <c r="BP76" s="143"/>
      <c r="BQ76" s="13">
        <f t="shared" si="71"/>
        <v>1</v>
      </c>
      <c r="BR76" s="62"/>
      <c r="BS76" s="143"/>
      <c r="BT76" s="13">
        <f t="shared" si="37"/>
        <v>1</v>
      </c>
      <c r="BU76" s="62"/>
      <c r="BV76" s="143"/>
      <c r="BW76" s="13">
        <f t="shared" si="72"/>
        <v>1</v>
      </c>
      <c r="BX76" s="62"/>
      <c r="BY76" s="143"/>
      <c r="BZ76" s="13">
        <f t="shared" si="38"/>
        <v>1</v>
      </c>
      <c r="CA76" s="62"/>
      <c r="CB76" s="143"/>
      <c r="CC76" s="13">
        <f t="shared" si="39"/>
        <v>1</v>
      </c>
      <c r="CD76" s="62"/>
      <c r="CE76" s="143"/>
      <c r="CF76" s="13">
        <f t="shared" si="40"/>
        <v>1</v>
      </c>
      <c r="CG76" s="62"/>
      <c r="CH76" s="143"/>
      <c r="CI76" s="13">
        <f t="shared" si="46"/>
        <v>1</v>
      </c>
      <c r="CJ76" s="62"/>
      <c r="CK76" s="143"/>
      <c r="CL76" s="13">
        <f t="shared" si="47"/>
        <v>1</v>
      </c>
      <c r="CM76" s="62"/>
      <c r="CN76" s="143"/>
      <c r="CO76" s="13">
        <f t="shared" si="41"/>
        <v>1</v>
      </c>
      <c r="CP76" s="62"/>
      <c r="CQ76" s="143"/>
      <c r="CR76" s="13">
        <f t="shared" si="48"/>
        <v>1</v>
      </c>
      <c r="CS76" s="62"/>
      <c r="CT76" s="143"/>
      <c r="CU76" s="14">
        <f t="shared" si="42"/>
        <v>1</v>
      </c>
      <c r="CV76" s="5">
        <f t="shared" si="43"/>
        <v>24</v>
      </c>
      <c r="CW76" s="4">
        <f t="shared" si="43"/>
        <v>26</v>
      </c>
      <c r="CX76" s="6">
        <f t="shared" si="44"/>
        <v>1</v>
      </c>
      <c r="CY76" s="162">
        <v>0</v>
      </c>
      <c r="CZ76" s="171">
        <f t="shared" si="45"/>
        <v>0</v>
      </c>
      <c r="DB76" s="2">
        <f t="shared" si="49"/>
        <v>1</v>
      </c>
      <c r="DC76" s="62"/>
      <c r="DD76" s="143"/>
      <c r="DE76" s="149">
        <f t="shared" si="50"/>
        <v>1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0</v>
      </c>
      <c r="G77" s="62"/>
      <c r="H77" s="143"/>
      <c r="I77" s="13">
        <f>F77+G77-H77</f>
        <v>0</v>
      </c>
      <c r="J77" s="62"/>
      <c r="K77" s="143"/>
      <c r="L77" s="13">
        <f t="shared" si="52"/>
        <v>0</v>
      </c>
      <c r="M77" s="62"/>
      <c r="N77" s="143"/>
      <c r="O77" s="13">
        <f t="shared" si="53"/>
        <v>0</v>
      </c>
      <c r="P77" s="62"/>
      <c r="Q77" s="143"/>
      <c r="R77" s="30">
        <f t="shared" si="54"/>
        <v>0</v>
      </c>
      <c r="S77" s="62">
        <v>36</v>
      </c>
      <c r="T77" s="143">
        <f>14+20+2</f>
        <v>36</v>
      </c>
      <c r="U77" s="13">
        <f>R77+S77-T77</f>
        <v>0</v>
      </c>
      <c r="V77" s="62">
        <f>-5</f>
        <v>-5</v>
      </c>
      <c r="W77" s="143"/>
      <c r="X77" s="13">
        <f t="shared" si="56"/>
        <v>-5</v>
      </c>
      <c r="Y77" s="62"/>
      <c r="Z77" s="143"/>
      <c r="AA77" s="13">
        <f t="shared" si="57"/>
        <v>-5</v>
      </c>
      <c r="AB77" s="62"/>
      <c r="AC77" s="143"/>
      <c r="AD77" s="13">
        <f t="shared" si="58"/>
        <v>-5</v>
      </c>
      <c r="AE77" s="62"/>
      <c r="AF77" s="143"/>
      <c r="AG77" s="13">
        <f t="shared" si="59"/>
        <v>-5</v>
      </c>
      <c r="AH77" s="62"/>
      <c r="AI77" s="143"/>
      <c r="AJ77" s="13">
        <f t="shared" si="60"/>
        <v>-5</v>
      </c>
      <c r="AK77" s="62"/>
      <c r="AL77" s="143"/>
      <c r="AM77" s="13">
        <f t="shared" si="61"/>
        <v>-5</v>
      </c>
      <c r="AN77" s="62"/>
      <c r="AO77" s="143"/>
      <c r="AP77" s="13">
        <f t="shared" si="62"/>
        <v>-5</v>
      </c>
      <c r="AQ77" s="62"/>
      <c r="AR77" s="143"/>
      <c r="AS77" s="13">
        <f t="shared" si="63"/>
        <v>-5</v>
      </c>
      <c r="AT77" s="62"/>
      <c r="AU77" s="143"/>
      <c r="AV77" s="13">
        <f t="shared" si="64"/>
        <v>-5</v>
      </c>
      <c r="AW77" s="62"/>
      <c r="AX77" s="143"/>
      <c r="AY77" s="13">
        <f t="shared" si="65"/>
        <v>-5</v>
      </c>
      <c r="AZ77" s="62"/>
      <c r="BA77" s="143"/>
      <c r="BB77" s="13">
        <f t="shared" si="66"/>
        <v>-5</v>
      </c>
      <c r="BC77" s="62"/>
      <c r="BD77" s="143"/>
      <c r="BE77" s="13">
        <f t="shared" si="67"/>
        <v>-5</v>
      </c>
      <c r="BF77" s="62"/>
      <c r="BG77" s="143"/>
      <c r="BH77" s="13">
        <f t="shared" si="68"/>
        <v>-5</v>
      </c>
      <c r="BI77" s="62"/>
      <c r="BJ77" s="143"/>
      <c r="BK77" s="13">
        <f t="shared" si="69"/>
        <v>-5</v>
      </c>
      <c r="BL77" s="62"/>
      <c r="BM77" s="143"/>
      <c r="BN77" s="13">
        <f t="shared" si="70"/>
        <v>-5</v>
      </c>
      <c r="BO77" s="62"/>
      <c r="BP77" s="143"/>
      <c r="BQ77" s="13">
        <f t="shared" si="71"/>
        <v>-5</v>
      </c>
      <c r="BR77" s="62"/>
      <c r="BS77" s="143"/>
      <c r="BT77" s="13">
        <f t="shared" si="37"/>
        <v>-5</v>
      </c>
      <c r="BU77" s="62"/>
      <c r="BV77" s="143"/>
      <c r="BW77" s="13">
        <f t="shared" si="72"/>
        <v>-5</v>
      </c>
      <c r="BX77" s="62"/>
      <c r="BY77" s="143"/>
      <c r="BZ77" s="13">
        <f t="shared" si="38"/>
        <v>-5</v>
      </c>
      <c r="CA77" s="62"/>
      <c r="CB77" s="143"/>
      <c r="CC77" s="13">
        <f t="shared" si="39"/>
        <v>-5</v>
      </c>
      <c r="CD77" s="62"/>
      <c r="CE77" s="143"/>
      <c r="CF77" s="13">
        <f t="shared" si="40"/>
        <v>-5</v>
      </c>
      <c r="CG77" s="62"/>
      <c r="CH77" s="143"/>
      <c r="CI77" s="13">
        <f t="shared" si="46"/>
        <v>-5</v>
      </c>
      <c r="CJ77" s="62"/>
      <c r="CK77" s="143"/>
      <c r="CL77" s="13">
        <f t="shared" si="47"/>
        <v>-5</v>
      </c>
      <c r="CM77" s="62"/>
      <c r="CN77" s="143"/>
      <c r="CO77" s="13">
        <f t="shared" si="41"/>
        <v>-5</v>
      </c>
      <c r="CP77" s="62"/>
      <c r="CQ77" s="143"/>
      <c r="CR77" s="13">
        <f t="shared" si="48"/>
        <v>-5</v>
      </c>
      <c r="CS77" s="62"/>
      <c r="CT77" s="143"/>
      <c r="CU77" s="14">
        <f t="shared" si="42"/>
        <v>-5</v>
      </c>
      <c r="CV77" s="5">
        <f t="shared" si="43"/>
        <v>31</v>
      </c>
      <c r="CW77" s="4">
        <f t="shared" si="43"/>
        <v>36</v>
      </c>
      <c r="CX77" s="6">
        <f t="shared" si="44"/>
        <v>-5</v>
      </c>
      <c r="CY77" s="162">
        <v>205</v>
      </c>
      <c r="CZ77" s="171">
        <f t="shared" si="45"/>
        <v>-1025</v>
      </c>
      <c r="DB77" s="2">
        <f t="shared" si="49"/>
        <v>-5</v>
      </c>
      <c r="DC77" s="62"/>
      <c r="DD77" s="143"/>
      <c r="DE77" s="149">
        <f t="shared" si="50"/>
        <v>-5</v>
      </c>
    </row>
    <row r="78" spans="1:109" ht="15.75" customHeight="1">
      <c r="A78" s="33"/>
      <c r="B78" s="3" t="s">
        <v>337</v>
      </c>
      <c r="C78" s="109" t="s">
        <v>27</v>
      </c>
      <c r="D78" s="34"/>
      <c r="E78" s="211">
        <v>5</v>
      </c>
      <c r="F78" s="14">
        <v>1</v>
      </c>
      <c r="G78" s="62"/>
      <c r="H78" s="143"/>
      <c r="I78" s="13">
        <f>F78+G78-H78</f>
        <v>1</v>
      </c>
      <c r="J78" s="62"/>
      <c r="K78" s="143"/>
      <c r="L78" s="13">
        <f>I78+J78-K78</f>
        <v>1</v>
      </c>
      <c r="M78" s="62"/>
      <c r="N78" s="143"/>
      <c r="O78" s="13">
        <f>L78+M78-N78</f>
        <v>1</v>
      </c>
      <c r="P78" s="62"/>
      <c r="Q78" s="143"/>
      <c r="R78" s="30">
        <f>O78+P78-Q78</f>
        <v>1</v>
      </c>
      <c r="S78" s="62"/>
      <c r="T78" s="143"/>
      <c r="U78" s="13">
        <f>R78+S78-T78</f>
        <v>1</v>
      </c>
      <c r="V78" s="62"/>
      <c r="W78" s="143"/>
      <c r="X78" s="13">
        <f>U78+V78-W78</f>
        <v>1</v>
      </c>
      <c r="Y78" s="62"/>
      <c r="Z78" s="143"/>
      <c r="AA78" s="13">
        <f>X78+Y78-Z78</f>
        <v>1</v>
      </c>
      <c r="AB78" s="62"/>
      <c r="AC78" s="143"/>
      <c r="AD78" s="13">
        <f>AA78+AB78-AC78</f>
        <v>1</v>
      </c>
      <c r="AE78" s="62"/>
      <c r="AF78" s="143"/>
      <c r="AG78" s="13">
        <f>AD78+AE78-AF78</f>
        <v>1</v>
      </c>
      <c r="AH78" s="62"/>
      <c r="AI78" s="143"/>
      <c r="AJ78" s="13">
        <f>AG78+AH78-AI78</f>
        <v>1</v>
      </c>
      <c r="AK78" s="62"/>
      <c r="AL78" s="143"/>
      <c r="AM78" s="13">
        <f>AJ78+AK78-AL78</f>
        <v>1</v>
      </c>
      <c r="AN78" s="62"/>
      <c r="AO78" s="143"/>
      <c r="AP78" s="13">
        <f>AM78+AN78-AO78</f>
        <v>1</v>
      </c>
      <c r="AQ78" s="62"/>
      <c r="AR78" s="143"/>
      <c r="AS78" s="13">
        <f>AP78+AQ78-AR78</f>
        <v>1</v>
      </c>
      <c r="AT78" s="62"/>
      <c r="AU78" s="143"/>
      <c r="AV78" s="13">
        <f>AS78+AT78-AU78</f>
        <v>1</v>
      </c>
      <c r="AW78" s="62"/>
      <c r="AX78" s="143"/>
      <c r="AY78" s="13">
        <f>AV78+AW78-AX78</f>
        <v>1</v>
      </c>
      <c r="AZ78" s="62"/>
      <c r="BA78" s="143"/>
      <c r="BB78" s="13">
        <f>AY78+AZ78-BA78</f>
        <v>1</v>
      </c>
      <c r="BC78" s="62"/>
      <c r="BD78" s="143"/>
      <c r="BE78" s="13">
        <f>BB78+BC78-BD78</f>
        <v>1</v>
      </c>
      <c r="BF78" s="62"/>
      <c r="BG78" s="143"/>
      <c r="BH78" s="13">
        <f>BE78+BF78-BG78</f>
        <v>1</v>
      </c>
      <c r="BI78" s="62"/>
      <c r="BJ78" s="143"/>
      <c r="BK78" s="13">
        <f>BH78+BI78-BJ78</f>
        <v>1</v>
      </c>
      <c r="BL78" s="62"/>
      <c r="BM78" s="143"/>
      <c r="BN78" s="13">
        <f>BK78+BL78-BM78</f>
        <v>1</v>
      </c>
      <c r="BO78" s="62"/>
      <c r="BP78" s="143"/>
      <c r="BQ78" s="13">
        <f>BN78+BO78-BP78</f>
        <v>1</v>
      </c>
      <c r="BR78" s="62"/>
      <c r="BS78" s="143"/>
      <c r="BT78" s="13">
        <f t="shared" si="37"/>
        <v>1</v>
      </c>
      <c r="BU78" s="62"/>
      <c r="BV78" s="143"/>
      <c r="BW78" s="13">
        <f>BT78+BU78-BV78</f>
        <v>1</v>
      </c>
      <c r="BX78" s="62"/>
      <c r="BY78" s="143"/>
      <c r="BZ78" s="13">
        <f t="shared" si="38"/>
        <v>1</v>
      </c>
      <c r="CA78" s="62"/>
      <c r="CB78" s="143"/>
      <c r="CC78" s="13">
        <f t="shared" si="39"/>
        <v>1</v>
      </c>
      <c r="CD78" s="62"/>
      <c r="CE78" s="143"/>
      <c r="CF78" s="13">
        <f t="shared" si="40"/>
        <v>1</v>
      </c>
      <c r="CG78" s="62"/>
      <c r="CH78" s="143"/>
      <c r="CI78" s="13">
        <f t="shared" si="46"/>
        <v>1</v>
      </c>
      <c r="CJ78" s="62"/>
      <c r="CK78" s="143"/>
      <c r="CL78" s="13">
        <f t="shared" si="47"/>
        <v>1</v>
      </c>
      <c r="CM78" s="62"/>
      <c r="CN78" s="143"/>
      <c r="CO78" s="13">
        <f t="shared" si="41"/>
        <v>1</v>
      </c>
      <c r="CP78" s="62"/>
      <c r="CQ78" s="143"/>
      <c r="CR78" s="13">
        <f t="shared" si="48"/>
        <v>1</v>
      </c>
      <c r="CS78" s="62"/>
      <c r="CT78" s="143"/>
      <c r="CU78" s="14">
        <f t="shared" si="42"/>
        <v>1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1</v>
      </c>
      <c r="DC78" s="62"/>
      <c r="DD78" s="143"/>
      <c r="DE78" s="149">
        <f t="shared" si="50"/>
        <v>1</v>
      </c>
    </row>
    <row r="79" spans="1:109" ht="15.75" customHeight="1">
      <c r="A79" s="33"/>
      <c r="B79" s="212" t="s">
        <v>338</v>
      </c>
      <c r="C79" s="213" t="s">
        <v>27</v>
      </c>
      <c r="D79" s="37"/>
      <c r="E79" s="37">
        <v>6</v>
      </c>
      <c r="F79" s="14">
        <v>0</v>
      </c>
      <c r="G79" s="62"/>
      <c r="H79" s="143"/>
      <c r="I79" s="13">
        <f t="shared" ref="I79:I94" si="73">F79+G79-H79</f>
        <v>0</v>
      </c>
      <c r="J79" s="62"/>
      <c r="K79" s="143"/>
      <c r="L79" s="13">
        <f t="shared" ref="L79:L94" si="74">I79+J79-K79</f>
        <v>0</v>
      </c>
      <c r="M79" s="62"/>
      <c r="N79" s="143"/>
      <c r="O79" s="13">
        <f t="shared" ref="O79:O94" si="75">L79+M79-N79</f>
        <v>0</v>
      </c>
      <c r="P79" s="62"/>
      <c r="Q79" s="143"/>
      <c r="R79" s="30">
        <f t="shared" ref="R79:R94" si="76">O79+P79-Q79</f>
        <v>0</v>
      </c>
      <c r="S79" s="62"/>
      <c r="T79" s="143"/>
      <c r="U79" s="13">
        <f t="shared" ref="U79:U94" si="77">R79+S79-T79</f>
        <v>0</v>
      </c>
      <c r="V79" s="62"/>
      <c r="W79" s="143"/>
      <c r="X79" s="13">
        <f t="shared" ref="X79:X94" si="78">U79+V79-W79</f>
        <v>0</v>
      </c>
      <c r="Y79" s="62"/>
      <c r="Z79" s="143"/>
      <c r="AA79" s="13">
        <f t="shared" ref="AA79:AA84" si="79">X79+Y79-Z79</f>
        <v>0</v>
      </c>
      <c r="AB79" s="62"/>
      <c r="AC79" s="143"/>
      <c r="AD79" s="13">
        <f t="shared" ref="AD79:AD94" si="80">AA79+AB79-AC79</f>
        <v>0</v>
      </c>
      <c r="AE79" s="62"/>
      <c r="AF79" s="143"/>
      <c r="AG79" s="13">
        <f t="shared" ref="AG79:AG94" si="81">AD79+AE79-AF79</f>
        <v>0</v>
      </c>
      <c r="AH79" s="62"/>
      <c r="AI79" s="143"/>
      <c r="AJ79" s="13">
        <f t="shared" ref="AJ79:AJ94" si="82">AG79+AH79-AI79</f>
        <v>0</v>
      </c>
      <c r="AK79" s="62"/>
      <c r="AL79" s="143"/>
      <c r="AM79" s="13">
        <f t="shared" ref="AM79:AM94" si="83">AJ79+AK79-AL79</f>
        <v>0</v>
      </c>
      <c r="AN79" s="62"/>
      <c r="AO79" s="143"/>
      <c r="AP79" s="13">
        <f t="shared" ref="AP79:AP94" si="84">AM79+AN79-AO79</f>
        <v>0</v>
      </c>
      <c r="AQ79" s="62"/>
      <c r="AR79" s="143"/>
      <c r="AS79" s="13">
        <f t="shared" ref="AS79:AS94" si="85">AP79+AQ79-AR79</f>
        <v>0</v>
      </c>
      <c r="AT79" s="62"/>
      <c r="AU79" s="143"/>
      <c r="AV79" s="13">
        <f t="shared" ref="AV79:AV94" si="86">AS79+AT79-AU79</f>
        <v>0</v>
      </c>
      <c r="AW79" s="62"/>
      <c r="AX79" s="143"/>
      <c r="AY79" s="13">
        <f t="shared" ref="AY79:AY94" si="87">AV79+AW79-AX79</f>
        <v>0</v>
      </c>
      <c r="AZ79" s="62"/>
      <c r="BA79" s="143"/>
      <c r="BB79" s="13">
        <f t="shared" ref="BB79:BB94" si="88">AY79+AZ79-BA79</f>
        <v>0</v>
      </c>
      <c r="BC79" s="62"/>
      <c r="BD79" s="143"/>
      <c r="BE79" s="13">
        <f t="shared" ref="BE79:BE94" si="89">BB79+BC79-BD79</f>
        <v>0</v>
      </c>
      <c r="BF79" s="62"/>
      <c r="BG79" s="143"/>
      <c r="BH79" s="13">
        <f t="shared" ref="BH79:BH94" si="90">BE79+BF79-BG79</f>
        <v>0</v>
      </c>
      <c r="BI79" s="62"/>
      <c r="BJ79" s="143"/>
      <c r="BK79" s="13">
        <f t="shared" ref="BK79:BK94" si="91">BH79+BI79-BJ79</f>
        <v>0</v>
      </c>
      <c r="BL79" s="62"/>
      <c r="BM79" s="143"/>
      <c r="BN79" s="13">
        <f t="shared" ref="BN79:BN94" si="92">BK79+BL79-BM79</f>
        <v>0</v>
      </c>
      <c r="BO79" s="62"/>
      <c r="BP79" s="143"/>
      <c r="BQ79" s="13">
        <f t="shared" ref="BQ79:BQ94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4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4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212" t="s">
        <v>335</v>
      </c>
      <c r="C80" s="213" t="s">
        <v>27</v>
      </c>
      <c r="D80" s="37"/>
      <c r="E80" s="37">
        <v>6</v>
      </c>
      <c r="F80" s="14">
        <v>0</v>
      </c>
      <c r="G80" s="62"/>
      <c r="H80" s="143"/>
      <c r="I80" s="13">
        <f t="shared" si="73"/>
        <v>0</v>
      </c>
      <c r="J80" s="62"/>
      <c r="K80" s="143"/>
      <c r="L80" s="13">
        <f t="shared" si="74"/>
        <v>0</v>
      </c>
      <c r="M80" s="62"/>
      <c r="N80" s="143"/>
      <c r="O80" s="13">
        <f t="shared" si="75"/>
        <v>0</v>
      </c>
      <c r="P80" s="62"/>
      <c r="Q80" s="143"/>
      <c r="R80" s="30">
        <f t="shared" si="76"/>
        <v>0</v>
      </c>
      <c r="S80" s="62"/>
      <c r="T80" s="143"/>
      <c r="U80" s="13">
        <f t="shared" si="77"/>
        <v>0</v>
      </c>
      <c r="V80" s="62"/>
      <c r="W80" s="143"/>
      <c r="X80" s="30">
        <f t="shared" si="78"/>
        <v>0</v>
      </c>
      <c r="Y80" s="62"/>
      <c r="Z80" s="143"/>
      <c r="AA80" s="13">
        <f t="shared" si="79"/>
        <v>0</v>
      </c>
      <c r="AB80" s="62"/>
      <c r="AC80" s="143"/>
      <c r="AD80" s="13">
        <f t="shared" si="80"/>
        <v>0</v>
      </c>
      <c r="AE80" s="62"/>
      <c r="AF80" s="143"/>
      <c r="AG80" s="13">
        <f t="shared" si="81"/>
        <v>0</v>
      </c>
      <c r="AH80" s="62"/>
      <c r="AI80" s="143"/>
      <c r="AJ80" s="13">
        <f t="shared" si="82"/>
        <v>0</v>
      </c>
      <c r="AK80" s="62"/>
      <c r="AL80" s="143"/>
      <c r="AM80" s="13">
        <f t="shared" si="83"/>
        <v>0</v>
      </c>
      <c r="AN80" s="62"/>
      <c r="AO80" s="143"/>
      <c r="AP80" s="13">
        <f t="shared" si="84"/>
        <v>0</v>
      </c>
      <c r="AQ80" s="62"/>
      <c r="AR80" s="143"/>
      <c r="AS80" s="13">
        <f t="shared" si="85"/>
        <v>0</v>
      </c>
      <c r="AT80" s="62"/>
      <c r="AU80" s="143"/>
      <c r="AV80" s="13">
        <f t="shared" si="86"/>
        <v>0</v>
      </c>
      <c r="AW80" s="62"/>
      <c r="AX80" s="143"/>
      <c r="AY80" s="13">
        <f t="shared" si="87"/>
        <v>0</v>
      </c>
      <c r="AZ80" s="62"/>
      <c r="BA80" s="143"/>
      <c r="BB80" s="13">
        <f t="shared" si="88"/>
        <v>0</v>
      </c>
      <c r="BC80" s="62"/>
      <c r="BD80" s="143"/>
      <c r="BE80" s="13">
        <f t="shared" si="89"/>
        <v>0</v>
      </c>
      <c r="BF80" s="62"/>
      <c r="BG80" s="143"/>
      <c r="BH80" s="13">
        <f t="shared" si="90"/>
        <v>0</v>
      </c>
      <c r="BI80" s="62"/>
      <c r="BJ80" s="143"/>
      <c r="BK80" s="13">
        <f t="shared" si="91"/>
        <v>0</v>
      </c>
      <c r="BL80" s="62"/>
      <c r="BM80" s="143"/>
      <c r="BN80" s="13">
        <f t="shared" si="92"/>
        <v>0</v>
      </c>
      <c r="BO80" s="62"/>
      <c r="BP80" s="143"/>
      <c r="BQ80" s="13">
        <f t="shared" si="93"/>
        <v>0</v>
      </c>
      <c r="BR80" s="62"/>
      <c r="BS80" s="143"/>
      <c r="BT80" s="13">
        <f t="shared" si="37"/>
        <v>0</v>
      </c>
      <c r="BU80" s="62"/>
      <c r="BV80" s="143"/>
      <c r="BW80" s="13">
        <f t="shared" si="94"/>
        <v>0</v>
      </c>
      <c r="BX80" s="62"/>
      <c r="BY80" s="143"/>
      <c r="BZ80" s="13">
        <f t="shared" si="38"/>
        <v>0</v>
      </c>
      <c r="CA80" s="62"/>
      <c r="CB80" s="143"/>
      <c r="CC80" s="13">
        <f t="shared" si="39"/>
        <v>0</v>
      </c>
      <c r="CD80" s="62"/>
      <c r="CE80" s="143"/>
      <c r="CF80" s="13">
        <f t="shared" si="40"/>
        <v>0</v>
      </c>
      <c r="CG80" s="62"/>
      <c r="CH80" s="143"/>
      <c r="CI80" s="13">
        <f t="shared" si="46"/>
        <v>0</v>
      </c>
      <c r="CJ80" s="62"/>
      <c r="CK80" s="143"/>
      <c r="CL80" s="13">
        <f t="shared" si="47"/>
        <v>0</v>
      </c>
      <c r="CM80" s="62"/>
      <c r="CN80" s="143"/>
      <c r="CO80" s="13">
        <f t="shared" si="41"/>
        <v>0</v>
      </c>
      <c r="CP80" s="62"/>
      <c r="CQ80" s="143"/>
      <c r="CR80" s="13">
        <f t="shared" si="48"/>
        <v>0</v>
      </c>
      <c r="CS80" s="62"/>
      <c r="CT80" s="143"/>
      <c r="CU80" s="14">
        <f t="shared" si="42"/>
        <v>0</v>
      </c>
      <c r="CV80" s="5">
        <f t="shared" si="43"/>
        <v>0</v>
      </c>
      <c r="CW80" s="4">
        <f t="shared" si="43"/>
        <v>0</v>
      </c>
      <c r="CX80" s="6">
        <f t="shared" si="95"/>
        <v>0</v>
      </c>
      <c r="CY80" s="162">
        <v>3050</v>
      </c>
      <c r="CZ80" s="171">
        <f t="shared" si="45"/>
        <v>0</v>
      </c>
      <c r="DB80" s="2">
        <f t="shared" si="49"/>
        <v>0</v>
      </c>
      <c r="DC80" s="62"/>
      <c r="DD80" s="143"/>
      <c r="DE80" s="149">
        <f t="shared" si="50"/>
        <v>0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28</v>
      </c>
      <c r="G81" s="62"/>
      <c r="H81" s="143"/>
      <c r="I81" s="13">
        <f t="shared" si="73"/>
        <v>28</v>
      </c>
      <c r="J81" s="62"/>
      <c r="K81" s="143"/>
      <c r="L81" s="13">
        <f t="shared" si="74"/>
        <v>28</v>
      </c>
      <c r="M81" s="62"/>
      <c r="N81" s="143"/>
      <c r="O81" s="13">
        <f t="shared" si="75"/>
        <v>28</v>
      </c>
      <c r="P81" s="62"/>
      <c r="Q81" s="143"/>
      <c r="R81" s="13">
        <f t="shared" si="76"/>
        <v>28</v>
      </c>
      <c r="S81" s="62"/>
      <c r="T81" s="143"/>
      <c r="U81" s="13">
        <f t="shared" si="77"/>
        <v>28</v>
      </c>
      <c r="V81" s="62"/>
      <c r="W81" s="143"/>
      <c r="X81" s="13">
        <f t="shared" si="78"/>
        <v>28</v>
      </c>
      <c r="Y81" s="62"/>
      <c r="Z81" s="143"/>
      <c r="AA81" s="13">
        <f t="shared" si="79"/>
        <v>28</v>
      </c>
      <c r="AB81" s="62"/>
      <c r="AC81" s="143"/>
      <c r="AD81" s="13">
        <f t="shared" si="80"/>
        <v>28</v>
      </c>
      <c r="AE81" s="62"/>
      <c r="AF81" s="143"/>
      <c r="AG81" s="13">
        <f t="shared" si="81"/>
        <v>28</v>
      </c>
      <c r="AH81" s="62"/>
      <c r="AI81" s="143"/>
      <c r="AJ81" s="13">
        <f t="shared" si="82"/>
        <v>28</v>
      </c>
      <c r="AK81" s="62"/>
      <c r="AL81" s="143"/>
      <c r="AM81" s="13">
        <f t="shared" si="83"/>
        <v>28</v>
      </c>
      <c r="AN81" s="62"/>
      <c r="AO81" s="143"/>
      <c r="AP81" s="13">
        <f t="shared" si="84"/>
        <v>28</v>
      </c>
      <c r="AQ81" s="62"/>
      <c r="AR81" s="143"/>
      <c r="AS81" s="13">
        <f t="shared" si="85"/>
        <v>28</v>
      </c>
      <c r="AT81" s="62"/>
      <c r="AU81" s="143"/>
      <c r="AV81" s="13">
        <f t="shared" si="86"/>
        <v>28</v>
      </c>
      <c r="AW81" s="62"/>
      <c r="AX81" s="143"/>
      <c r="AY81" s="13">
        <f t="shared" si="87"/>
        <v>28</v>
      </c>
      <c r="AZ81" s="62"/>
      <c r="BA81" s="143"/>
      <c r="BB81" s="13">
        <f t="shared" si="88"/>
        <v>28</v>
      </c>
      <c r="BC81" s="62"/>
      <c r="BD81" s="143"/>
      <c r="BE81" s="13">
        <f t="shared" si="89"/>
        <v>28</v>
      </c>
      <c r="BF81" s="62"/>
      <c r="BG81" s="143"/>
      <c r="BH81" s="13">
        <f t="shared" si="90"/>
        <v>28</v>
      </c>
      <c r="BI81" s="62"/>
      <c r="BJ81" s="143"/>
      <c r="BK81" s="13">
        <f t="shared" si="91"/>
        <v>28</v>
      </c>
      <c r="BL81" s="62"/>
      <c r="BM81" s="143"/>
      <c r="BN81" s="13">
        <f t="shared" si="92"/>
        <v>28</v>
      </c>
      <c r="BO81" s="62"/>
      <c r="BP81" s="143"/>
      <c r="BQ81" s="13">
        <f t="shared" si="93"/>
        <v>28</v>
      </c>
      <c r="BR81" s="62"/>
      <c r="BS81" s="143"/>
      <c r="BT81" s="13">
        <f t="shared" si="37"/>
        <v>28</v>
      </c>
      <c r="BU81" s="62"/>
      <c r="BV81" s="143"/>
      <c r="BW81" s="13">
        <f t="shared" si="94"/>
        <v>28</v>
      </c>
      <c r="BX81" s="62"/>
      <c r="BY81" s="143"/>
      <c r="BZ81" s="13">
        <f t="shared" si="38"/>
        <v>28</v>
      </c>
      <c r="CA81" s="62"/>
      <c r="CB81" s="143"/>
      <c r="CC81" s="13">
        <f t="shared" si="39"/>
        <v>28</v>
      </c>
      <c r="CD81" s="62"/>
      <c r="CE81" s="143"/>
      <c r="CF81" s="13">
        <f t="shared" si="40"/>
        <v>28</v>
      </c>
      <c r="CG81" s="62"/>
      <c r="CH81" s="143"/>
      <c r="CI81" s="13">
        <f t="shared" si="46"/>
        <v>28</v>
      </c>
      <c r="CJ81" s="62"/>
      <c r="CK81" s="143"/>
      <c r="CL81" s="13">
        <f t="shared" si="47"/>
        <v>28</v>
      </c>
      <c r="CM81" s="62"/>
      <c r="CN81" s="143"/>
      <c r="CO81" s="13">
        <f t="shared" si="41"/>
        <v>28</v>
      </c>
      <c r="CP81" s="62"/>
      <c r="CQ81" s="143"/>
      <c r="CR81" s="13">
        <f t="shared" si="48"/>
        <v>28</v>
      </c>
      <c r="CS81" s="62"/>
      <c r="CT81" s="143"/>
      <c r="CU81" s="14">
        <f t="shared" si="42"/>
        <v>28</v>
      </c>
      <c r="CV81" s="5">
        <f t="shared" si="43"/>
        <v>0</v>
      </c>
      <c r="CW81" s="4">
        <f t="shared" si="43"/>
        <v>0</v>
      </c>
      <c r="CX81" s="6">
        <f t="shared" si="95"/>
        <v>28</v>
      </c>
      <c r="CY81" s="162"/>
      <c r="CZ81" s="171">
        <f t="shared" si="45"/>
        <v>0</v>
      </c>
      <c r="DB81" s="2">
        <f t="shared" si="49"/>
        <v>28</v>
      </c>
      <c r="DC81" s="62"/>
      <c r="DD81" s="143"/>
      <c r="DE81" s="149">
        <f t="shared" si="50"/>
        <v>28</v>
      </c>
    </row>
    <row r="82" spans="1:109" ht="15.75" customHeight="1">
      <c r="A82" s="33"/>
      <c r="B82" s="42" t="s">
        <v>326</v>
      </c>
      <c r="C82" s="112" t="s">
        <v>51</v>
      </c>
      <c r="D82" s="43"/>
      <c r="E82" s="34">
        <v>10</v>
      </c>
      <c r="F82" s="14">
        <v>5</v>
      </c>
      <c r="G82" s="62"/>
      <c r="H82" s="143"/>
      <c r="I82" s="13">
        <f t="shared" si="73"/>
        <v>5</v>
      </c>
      <c r="J82" s="62"/>
      <c r="K82" s="143"/>
      <c r="L82" s="13">
        <f t="shared" si="74"/>
        <v>5</v>
      </c>
      <c r="M82" s="62"/>
      <c r="N82" s="143"/>
      <c r="O82" s="13">
        <f t="shared" si="75"/>
        <v>5</v>
      </c>
      <c r="P82" s="62"/>
      <c r="Q82" s="143"/>
      <c r="R82" s="13">
        <f t="shared" si="76"/>
        <v>5</v>
      </c>
      <c r="S82" s="62"/>
      <c r="T82" s="143"/>
      <c r="U82" s="13">
        <f t="shared" si="77"/>
        <v>5</v>
      </c>
      <c r="V82" s="62"/>
      <c r="W82" s="143"/>
      <c r="X82" s="13">
        <f t="shared" si="78"/>
        <v>5</v>
      </c>
      <c r="Y82" s="62"/>
      <c r="Z82" s="143"/>
      <c r="AA82" s="13">
        <f t="shared" si="79"/>
        <v>5</v>
      </c>
      <c r="AB82" s="62"/>
      <c r="AC82" s="143"/>
      <c r="AD82" s="13">
        <f t="shared" si="80"/>
        <v>5</v>
      </c>
      <c r="AE82" s="62"/>
      <c r="AF82" s="143"/>
      <c r="AG82" s="13">
        <f t="shared" si="81"/>
        <v>5</v>
      </c>
      <c r="AH82" s="62"/>
      <c r="AI82" s="143"/>
      <c r="AJ82" s="13">
        <f t="shared" si="82"/>
        <v>5</v>
      </c>
      <c r="AK82" s="62"/>
      <c r="AL82" s="143"/>
      <c r="AM82" s="13">
        <f t="shared" si="83"/>
        <v>5</v>
      </c>
      <c r="AN82" s="62"/>
      <c r="AO82" s="143"/>
      <c r="AP82" s="13">
        <f t="shared" si="84"/>
        <v>5</v>
      </c>
      <c r="AQ82" s="62"/>
      <c r="AR82" s="143"/>
      <c r="AS82" s="13">
        <f t="shared" si="85"/>
        <v>5</v>
      </c>
      <c r="AT82" s="62"/>
      <c r="AU82" s="143"/>
      <c r="AV82" s="13">
        <f t="shared" si="86"/>
        <v>5</v>
      </c>
      <c r="AW82" s="62"/>
      <c r="AX82" s="143"/>
      <c r="AY82" s="13">
        <f t="shared" si="87"/>
        <v>5</v>
      </c>
      <c r="AZ82" s="62"/>
      <c r="BA82" s="143"/>
      <c r="BB82" s="13">
        <f t="shared" si="88"/>
        <v>5</v>
      </c>
      <c r="BC82" s="62"/>
      <c r="BD82" s="143"/>
      <c r="BE82" s="13">
        <f t="shared" si="89"/>
        <v>5</v>
      </c>
      <c r="BF82" s="62"/>
      <c r="BG82" s="143"/>
      <c r="BH82" s="13">
        <f t="shared" si="90"/>
        <v>5</v>
      </c>
      <c r="BI82" s="62"/>
      <c r="BJ82" s="143"/>
      <c r="BK82" s="13">
        <f t="shared" si="91"/>
        <v>5</v>
      </c>
      <c r="BL82" s="62"/>
      <c r="BM82" s="143"/>
      <c r="BN82" s="13">
        <f t="shared" si="92"/>
        <v>5</v>
      </c>
      <c r="BO82" s="62"/>
      <c r="BP82" s="143"/>
      <c r="BQ82" s="13">
        <f t="shared" si="93"/>
        <v>5</v>
      </c>
      <c r="BR82" s="62"/>
      <c r="BS82" s="143"/>
      <c r="BT82" s="13">
        <f t="shared" si="37"/>
        <v>5</v>
      </c>
      <c r="BU82" s="62"/>
      <c r="BV82" s="143"/>
      <c r="BW82" s="13">
        <f t="shared" si="94"/>
        <v>5</v>
      </c>
      <c r="BX82" s="62"/>
      <c r="BY82" s="143"/>
      <c r="BZ82" s="13">
        <f t="shared" si="38"/>
        <v>5</v>
      </c>
      <c r="CA82" s="62"/>
      <c r="CB82" s="143"/>
      <c r="CC82" s="13">
        <f t="shared" si="39"/>
        <v>5</v>
      </c>
      <c r="CD82" s="62"/>
      <c r="CE82" s="143"/>
      <c r="CF82" s="13">
        <f t="shared" si="40"/>
        <v>5</v>
      </c>
      <c r="CG82" s="62"/>
      <c r="CH82" s="143"/>
      <c r="CI82" s="13">
        <f t="shared" si="46"/>
        <v>5</v>
      </c>
      <c r="CJ82" s="62"/>
      <c r="CK82" s="143"/>
      <c r="CL82" s="13">
        <f t="shared" si="47"/>
        <v>5</v>
      </c>
      <c r="CM82" s="62"/>
      <c r="CN82" s="143"/>
      <c r="CO82" s="13">
        <f t="shared" si="41"/>
        <v>5</v>
      </c>
      <c r="CP82" s="62"/>
      <c r="CQ82" s="143"/>
      <c r="CR82" s="13">
        <f t="shared" si="48"/>
        <v>5</v>
      </c>
      <c r="CS82" s="62"/>
      <c r="CT82" s="143"/>
      <c r="CU82" s="14">
        <f t="shared" si="42"/>
        <v>5</v>
      </c>
      <c r="CV82" s="5">
        <f t="shared" si="43"/>
        <v>0</v>
      </c>
      <c r="CW82" s="4">
        <f t="shared" si="43"/>
        <v>0</v>
      </c>
      <c r="CX82" s="6">
        <f t="shared" si="95"/>
        <v>5</v>
      </c>
      <c r="CY82" s="163"/>
      <c r="CZ82" s="171">
        <f t="shared" si="45"/>
        <v>0</v>
      </c>
      <c r="DB82" s="2">
        <f t="shared" si="49"/>
        <v>5</v>
      </c>
      <c r="DC82" s="62"/>
      <c r="DD82" s="143"/>
      <c r="DE82" s="149">
        <f t="shared" si="50"/>
        <v>5</v>
      </c>
    </row>
    <row r="83" spans="1:109" ht="15.75" customHeight="1">
      <c r="A83" s="33" t="s">
        <v>120</v>
      </c>
      <c r="B83" s="49" t="s">
        <v>121</v>
      </c>
      <c r="C83" s="111" t="s">
        <v>27</v>
      </c>
      <c r="D83" s="52">
        <v>18</v>
      </c>
      <c r="E83" s="53" t="s">
        <v>122</v>
      </c>
      <c r="F83" s="14">
        <v>5</v>
      </c>
      <c r="G83" s="62"/>
      <c r="H83" s="143"/>
      <c r="I83" s="13">
        <f t="shared" si="73"/>
        <v>5</v>
      </c>
      <c r="J83" s="62"/>
      <c r="K83" s="143"/>
      <c r="L83" s="13">
        <f t="shared" si="74"/>
        <v>5</v>
      </c>
      <c r="M83" s="62"/>
      <c r="N83" s="143">
        <v>4</v>
      </c>
      <c r="O83" s="13">
        <f t="shared" si="75"/>
        <v>1</v>
      </c>
      <c r="P83" s="62"/>
      <c r="Q83" s="143"/>
      <c r="R83" s="30">
        <f t="shared" si="76"/>
        <v>1</v>
      </c>
      <c r="S83" s="62"/>
      <c r="T83" s="143"/>
      <c r="U83" s="13">
        <f t="shared" si="77"/>
        <v>1</v>
      </c>
      <c r="V83" s="62"/>
      <c r="W83" s="143"/>
      <c r="X83" s="13">
        <f t="shared" si="78"/>
        <v>1</v>
      </c>
      <c r="Y83" s="62"/>
      <c r="Z83" s="143"/>
      <c r="AA83" s="13">
        <f t="shared" si="79"/>
        <v>1</v>
      </c>
      <c r="AB83" s="62"/>
      <c r="AC83" s="143"/>
      <c r="AD83" s="13">
        <f t="shared" si="80"/>
        <v>1</v>
      </c>
      <c r="AE83" s="62"/>
      <c r="AF83" s="143"/>
      <c r="AG83" s="13">
        <f t="shared" si="81"/>
        <v>1</v>
      </c>
      <c r="AH83" s="62"/>
      <c r="AI83" s="143"/>
      <c r="AJ83" s="13">
        <f t="shared" si="82"/>
        <v>1</v>
      </c>
      <c r="AK83" s="62"/>
      <c r="AL83" s="143"/>
      <c r="AM83" s="13">
        <f t="shared" si="83"/>
        <v>1</v>
      </c>
      <c r="AN83" s="62"/>
      <c r="AO83" s="143"/>
      <c r="AP83" s="13">
        <f t="shared" si="84"/>
        <v>1</v>
      </c>
      <c r="AQ83" s="62"/>
      <c r="AR83" s="143"/>
      <c r="AS83" s="13">
        <f t="shared" si="85"/>
        <v>1</v>
      </c>
      <c r="AT83" s="62"/>
      <c r="AU83" s="143"/>
      <c r="AV83" s="13">
        <f t="shared" si="86"/>
        <v>1</v>
      </c>
      <c r="AW83" s="62"/>
      <c r="AX83" s="143"/>
      <c r="AY83" s="13">
        <f t="shared" si="87"/>
        <v>1</v>
      </c>
      <c r="AZ83" s="62"/>
      <c r="BA83" s="143"/>
      <c r="BB83" s="13">
        <f t="shared" si="88"/>
        <v>1</v>
      </c>
      <c r="BC83" s="62"/>
      <c r="BD83" s="143"/>
      <c r="BE83" s="13">
        <f t="shared" si="89"/>
        <v>1</v>
      </c>
      <c r="BF83" s="62"/>
      <c r="BG83" s="143"/>
      <c r="BH83" s="13">
        <f t="shared" si="90"/>
        <v>1</v>
      </c>
      <c r="BI83" s="62"/>
      <c r="BJ83" s="143"/>
      <c r="BK83" s="13">
        <f t="shared" si="91"/>
        <v>1</v>
      </c>
      <c r="BL83" s="62"/>
      <c r="BM83" s="143"/>
      <c r="BN83" s="13">
        <f t="shared" si="92"/>
        <v>1</v>
      </c>
      <c r="BO83" s="62"/>
      <c r="BP83" s="143"/>
      <c r="BQ83" s="13">
        <f t="shared" si="93"/>
        <v>1</v>
      </c>
      <c r="BR83" s="62"/>
      <c r="BS83" s="143"/>
      <c r="BT83" s="13">
        <f t="shared" si="37"/>
        <v>1</v>
      </c>
      <c r="BU83" s="62"/>
      <c r="BV83" s="143"/>
      <c r="BW83" s="13">
        <f t="shared" si="94"/>
        <v>1</v>
      </c>
      <c r="BX83" s="62"/>
      <c r="BY83" s="143"/>
      <c r="BZ83" s="13">
        <f t="shared" si="38"/>
        <v>1</v>
      </c>
      <c r="CA83" s="62"/>
      <c r="CB83" s="143"/>
      <c r="CC83" s="13">
        <f t="shared" si="39"/>
        <v>1</v>
      </c>
      <c r="CD83" s="62"/>
      <c r="CE83" s="143"/>
      <c r="CF83" s="13">
        <f t="shared" si="40"/>
        <v>1</v>
      </c>
      <c r="CG83" s="62"/>
      <c r="CH83" s="143"/>
      <c r="CI83" s="13">
        <f t="shared" si="46"/>
        <v>1</v>
      </c>
      <c r="CJ83" s="62"/>
      <c r="CK83" s="143"/>
      <c r="CL83" s="13">
        <f t="shared" si="47"/>
        <v>1</v>
      </c>
      <c r="CM83" s="62"/>
      <c r="CN83" s="143"/>
      <c r="CO83" s="13">
        <f t="shared" si="41"/>
        <v>1</v>
      </c>
      <c r="CP83" s="62"/>
      <c r="CQ83" s="143"/>
      <c r="CR83" s="13">
        <f t="shared" si="48"/>
        <v>1</v>
      </c>
      <c r="CS83" s="62"/>
      <c r="CT83" s="143"/>
      <c r="CU83" s="14">
        <f t="shared" si="42"/>
        <v>1</v>
      </c>
      <c r="CV83" s="129">
        <f t="shared" si="43"/>
        <v>0</v>
      </c>
      <c r="CW83" s="130">
        <f t="shared" si="43"/>
        <v>4</v>
      </c>
      <c r="CX83" s="131">
        <f t="shared" si="95"/>
        <v>1</v>
      </c>
      <c r="CY83" s="163">
        <v>0</v>
      </c>
      <c r="CZ83" s="172">
        <f t="shared" si="45"/>
        <v>0</v>
      </c>
      <c r="DB83" s="2">
        <f t="shared" si="49"/>
        <v>1</v>
      </c>
      <c r="DC83" s="62"/>
      <c r="DD83" s="143"/>
      <c r="DE83" s="149">
        <f t="shared" si="50"/>
        <v>1</v>
      </c>
    </row>
    <row r="84" spans="1:109" ht="15.75" customHeight="1">
      <c r="A84" s="33" t="s">
        <v>123</v>
      </c>
      <c r="B84" s="49" t="s">
        <v>124</v>
      </c>
      <c r="C84" s="111" t="s">
        <v>27</v>
      </c>
      <c r="D84" s="52">
        <v>168</v>
      </c>
      <c r="E84" s="53" t="s">
        <v>125</v>
      </c>
      <c r="F84" s="14">
        <v>33</v>
      </c>
      <c r="G84" s="62"/>
      <c r="H84" s="143"/>
      <c r="I84" s="13">
        <f t="shared" si="73"/>
        <v>33</v>
      </c>
      <c r="J84" s="62"/>
      <c r="K84" s="143"/>
      <c r="L84" s="13">
        <f t="shared" si="74"/>
        <v>33</v>
      </c>
      <c r="M84" s="62"/>
      <c r="N84" s="143">
        <v>29</v>
      </c>
      <c r="O84" s="13">
        <f t="shared" si="75"/>
        <v>4</v>
      </c>
      <c r="P84" s="62"/>
      <c r="Q84" s="143"/>
      <c r="R84" s="30">
        <f t="shared" si="76"/>
        <v>4</v>
      </c>
      <c r="S84" s="62"/>
      <c r="T84" s="143"/>
      <c r="U84" s="13">
        <f t="shared" si="77"/>
        <v>4</v>
      </c>
      <c r="V84" s="62"/>
      <c r="W84" s="143"/>
      <c r="X84" s="13">
        <f>U84+V84-W84</f>
        <v>4</v>
      </c>
      <c r="Y84" s="62"/>
      <c r="Z84" s="143"/>
      <c r="AA84" s="13">
        <f t="shared" si="79"/>
        <v>4</v>
      </c>
      <c r="AB84" s="62"/>
      <c r="AC84" s="143"/>
      <c r="AD84" s="13">
        <f t="shared" si="80"/>
        <v>4</v>
      </c>
      <c r="AE84" s="62"/>
      <c r="AF84" s="143"/>
      <c r="AG84" s="13">
        <f t="shared" si="81"/>
        <v>4</v>
      </c>
      <c r="AH84" s="62"/>
      <c r="AI84" s="143"/>
      <c r="AJ84" s="13">
        <f t="shared" si="82"/>
        <v>4</v>
      </c>
      <c r="AK84" s="62"/>
      <c r="AL84" s="143"/>
      <c r="AM84" s="13">
        <f t="shared" si="83"/>
        <v>4</v>
      </c>
      <c r="AN84" s="62"/>
      <c r="AO84" s="143"/>
      <c r="AP84" s="13">
        <f t="shared" si="84"/>
        <v>4</v>
      </c>
      <c r="AQ84" s="62"/>
      <c r="AR84" s="143"/>
      <c r="AS84" s="13">
        <f t="shared" si="85"/>
        <v>4</v>
      </c>
      <c r="AT84" s="62"/>
      <c r="AU84" s="143"/>
      <c r="AV84" s="13">
        <f t="shared" si="86"/>
        <v>4</v>
      </c>
      <c r="AW84" s="62"/>
      <c r="AX84" s="143"/>
      <c r="AY84" s="13">
        <f t="shared" si="87"/>
        <v>4</v>
      </c>
      <c r="AZ84" s="62"/>
      <c r="BA84" s="143"/>
      <c r="BB84" s="13">
        <f t="shared" si="88"/>
        <v>4</v>
      </c>
      <c r="BC84" s="62"/>
      <c r="BD84" s="143"/>
      <c r="BE84" s="13">
        <f t="shared" si="89"/>
        <v>4</v>
      </c>
      <c r="BF84" s="62"/>
      <c r="BG84" s="143"/>
      <c r="BH84" s="13">
        <f t="shared" si="90"/>
        <v>4</v>
      </c>
      <c r="BI84" s="62"/>
      <c r="BJ84" s="143"/>
      <c r="BK84" s="13">
        <f t="shared" si="91"/>
        <v>4</v>
      </c>
      <c r="BL84" s="62"/>
      <c r="BM84" s="143"/>
      <c r="BN84" s="13">
        <f t="shared" si="92"/>
        <v>4</v>
      </c>
      <c r="BO84" s="62"/>
      <c r="BP84" s="143"/>
      <c r="BQ84" s="13">
        <f t="shared" si="93"/>
        <v>4</v>
      </c>
      <c r="BR84" s="62"/>
      <c r="BS84" s="143"/>
      <c r="BT84" s="13">
        <f t="shared" si="37"/>
        <v>4</v>
      </c>
      <c r="BU84" s="62"/>
      <c r="BV84" s="143"/>
      <c r="BW84" s="13">
        <f t="shared" si="94"/>
        <v>4</v>
      </c>
      <c r="BX84" s="62"/>
      <c r="BY84" s="143"/>
      <c r="BZ84" s="13">
        <f t="shared" si="38"/>
        <v>4</v>
      </c>
      <c r="CA84" s="62"/>
      <c r="CB84" s="143"/>
      <c r="CC84" s="13">
        <f t="shared" si="39"/>
        <v>4</v>
      </c>
      <c r="CD84" s="62"/>
      <c r="CE84" s="143"/>
      <c r="CF84" s="13">
        <f t="shared" si="40"/>
        <v>4</v>
      </c>
      <c r="CG84" s="62"/>
      <c r="CH84" s="143"/>
      <c r="CI84" s="13">
        <f t="shared" si="46"/>
        <v>4</v>
      </c>
      <c r="CJ84" s="62"/>
      <c r="CK84" s="143"/>
      <c r="CL84" s="13">
        <f t="shared" si="47"/>
        <v>4</v>
      </c>
      <c r="CM84" s="62"/>
      <c r="CN84" s="143"/>
      <c r="CO84" s="13">
        <f t="shared" si="41"/>
        <v>4</v>
      </c>
      <c r="CP84" s="62"/>
      <c r="CQ84" s="143"/>
      <c r="CR84" s="13">
        <f t="shared" si="48"/>
        <v>4</v>
      </c>
      <c r="CS84" s="62"/>
      <c r="CT84" s="143"/>
      <c r="CU84" s="14">
        <f t="shared" si="42"/>
        <v>4</v>
      </c>
      <c r="CV84" s="5">
        <f>G84+J84+M84+P84+S84+V84+Y84+AB84+AE84+AH84+AK84+AN84+AQ84+AT84+AW84+AZ84+BC84+BF84+BI84+BL84+BO84+BR84+BU84+BX84+CA84+CD84+CG84+CJ84+CM84+CP84+CS84</f>
        <v>0</v>
      </c>
      <c r="CW84" s="4">
        <f>H84+K84+N84+Q84+T84+W84+Z84+AC84+AF84+AI84+AL84+AO84+AR84+AU84+AX84+BA84+BD84+BG84+BJ84+BM84+BP84+BS84+BV84+BY84+CB84+CE84+CH84+CK84+CN84+CQ84+CT84</f>
        <v>29</v>
      </c>
      <c r="CX84" s="6">
        <f t="shared" si="95"/>
        <v>4</v>
      </c>
      <c r="CY84" s="164">
        <v>0</v>
      </c>
      <c r="CZ84" s="171">
        <f t="shared" si="45"/>
        <v>0</v>
      </c>
      <c r="DB84" s="2">
        <f t="shared" si="49"/>
        <v>4</v>
      </c>
      <c r="DC84" s="62"/>
      <c r="DD84" s="143"/>
      <c r="DE84" s="149">
        <f t="shared" si="50"/>
        <v>4</v>
      </c>
    </row>
    <row r="85" spans="1:109" ht="16.2">
      <c r="A85" s="135" t="s">
        <v>200</v>
      </c>
      <c r="B85" s="3" t="s">
        <v>254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7.25" customHeight="1">
      <c r="A86" s="135" t="s">
        <v>261</v>
      </c>
      <c r="B86" s="3" t="s">
        <v>262</v>
      </c>
      <c r="C86" s="104" t="s">
        <v>27</v>
      </c>
      <c r="D86" s="34">
        <v>15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 t="shared" si="38"/>
        <v>0</v>
      </c>
      <c r="CA86" s="143"/>
      <c r="CB86" s="143"/>
      <c r="CC86" s="13">
        <f t="shared" si="39"/>
        <v>0</v>
      </c>
      <c r="CD86" s="143"/>
      <c r="CE86" s="143"/>
      <c r="CF86" s="13">
        <f t="shared" si="40"/>
        <v>0</v>
      </c>
      <c r="CG86" s="143"/>
      <c r="CH86" s="143"/>
      <c r="CI86" s="13">
        <f t="shared" si="46"/>
        <v>0</v>
      </c>
      <c r="CJ86" s="143"/>
      <c r="CK86" s="143"/>
      <c r="CL86" s="13">
        <f t="shared" si="47"/>
        <v>0</v>
      </c>
      <c r="CM86" s="143"/>
      <c r="CN86" s="143"/>
      <c r="CO86" s="13">
        <f t="shared" si="41"/>
        <v>0</v>
      </c>
      <c r="CP86" s="143"/>
      <c r="CQ86" s="143"/>
      <c r="CR86" s="13">
        <f t="shared" si="48"/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5" customHeight="1">
      <c r="A87" s="33" t="s">
        <v>201</v>
      </c>
      <c r="B87" s="3" t="s">
        <v>190</v>
      </c>
      <c r="C87" s="104" t="s">
        <v>27</v>
      </c>
      <c r="D87" s="34">
        <v>60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191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>BW88+BX88-BY88</f>
        <v>0</v>
      </c>
      <c r="CA88" s="143"/>
      <c r="CB88" s="143"/>
      <c r="CC88" s="13">
        <f>BZ88+CA88-CB88</f>
        <v>0</v>
      </c>
      <c r="CD88" s="143"/>
      <c r="CE88" s="143"/>
      <c r="CF88" s="13">
        <f>CC88+CD88-CE88</f>
        <v>0</v>
      </c>
      <c r="CG88" s="143"/>
      <c r="CH88" s="143"/>
      <c r="CI88" s="13">
        <f>CF88+CG88-CH88</f>
        <v>0</v>
      </c>
      <c r="CJ88" s="143"/>
      <c r="CK88" s="143"/>
      <c r="CL88" s="13">
        <f>CI88+CJ88-CK88</f>
        <v>0</v>
      </c>
      <c r="CM88" s="143"/>
      <c r="CN88" s="143"/>
      <c r="CO88" s="13">
        <f>CL88+CM88-CN88</f>
        <v>0</v>
      </c>
      <c r="CP88" s="143"/>
      <c r="CQ88" s="143"/>
      <c r="CR88" s="13">
        <f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6.2">
      <c r="A89" s="33" t="s">
        <v>201</v>
      </c>
      <c r="B89" s="3" t="s">
        <v>258</v>
      </c>
      <c r="C89" s="104" t="s">
        <v>27</v>
      </c>
      <c r="D89" s="34">
        <v>40</v>
      </c>
      <c r="E89" s="9" t="s">
        <v>260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 t="shared" ref="BZ89" si="96">BW89+BX89-BY89</f>
        <v>0</v>
      </c>
      <c r="CA89" s="143"/>
      <c r="CB89" s="143"/>
      <c r="CC89" s="13">
        <f t="shared" ref="CC89" si="97">BZ89+CA89-CB89</f>
        <v>0</v>
      </c>
      <c r="CD89" s="143"/>
      <c r="CE89" s="143"/>
      <c r="CF89" s="13">
        <f t="shared" ref="CF89" si="98">CC89+CD89-CE89</f>
        <v>0</v>
      </c>
      <c r="CG89" s="143"/>
      <c r="CH89" s="143"/>
      <c r="CI89" s="13">
        <f t="shared" ref="CI89" si="99">CF89+CG89-CH89</f>
        <v>0</v>
      </c>
      <c r="CJ89" s="143"/>
      <c r="CK89" s="143"/>
      <c r="CL89" s="13">
        <f t="shared" ref="CL89" si="100">CI89+CJ89-CK89</f>
        <v>0</v>
      </c>
      <c r="CM89" s="143"/>
      <c r="CN89" s="143"/>
      <c r="CO89" s="13">
        <f t="shared" ref="CO89" si="101">CL89+CM89-CN89</f>
        <v>0</v>
      </c>
      <c r="CP89" s="143"/>
      <c r="CQ89" s="143"/>
      <c r="CR89" s="13">
        <f t="shared" ref="CR89" si="102"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787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210</v>
      </c>
      <c r="C90" s="104" t="s">
        <v>27</v>
      </c>
      <c r="D90" s="34">
        <v>40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>BW90+BX90-BY90</f>
        <v>0</v>
      </c>
      <c r="CA90" s="143"/>
      <c r="CB90" s="143"/>
      <c r="CC90" s="13">
        <f>BZ90+CA90-CB90</f>
        <v>0</v>
      </c>
      <c r="CD90" s="143"/>
      <c r="CE90" s="143"/>
      <c r="CF90" s="13">
        <f>CC90+CD90-CE90</f>
        <v>0</v>
      </c>
      <c r="CG90" s="143"/>
      <c r="CH90" s="143"/>
      <c r="CI90" s="13">
        <f>CF90+CG90-CH90</f>
        <v>0</v>
      </c>
      <c r="CJ90" s="143"/>
      <c r="CK90" s="143"/>
      <c r="CL90" s="13">
        <f>CI90+CJ90-CK90</f>
        <v>0</v>
      </c>
      <c r="CM90" s="143"/>
      <c r="CN90" s="143"/>
      <c r="CO90" s="13">
        <f>CL90+CM90-CN90</f>
        <v>0</v>
      </c>
      <c r="CP90" s="143"/>
      <c r="CQ90" s="143"/>
      <c r="CR90" s="13">
        <f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211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ref="BZ91:BZ94" si="103">BW91+BX91-BY91</f>
        <v>0</v>
      </c>
      <c r="CA91" s="143"/>
      <c r="CB91" s="143"/>
      <c r="CC91" s="13">
        <f t="shared" ref="CC91:CC94" si="104">BZ91+CA91-CB91</f>
        <v>0</v>
      </c>
      <c r="CD91" s="143"/>
      <c r="CE91" s="143"/>
      <c r="CF91" s="13">
        <f t="shared" ref="CF91:CF94" si="105">CC91+CD91-CE91</f>
        <v>0</v>
      </c>
      <c r="CG91" s="143"/>
      <c r="CH91" s="143"/>
      <c r="CI91" s="13">
        <f t="shared" ref="CI91:CI94" si="106">CF91+CG91-CH91</f>
        <v>0</v>
      </c>
      <c r="CJ91" s="143"/>
      <c r="CK91" s="143"/>
      <c r="CL91" s="13">
        <f t="shared" ref="CL91:CL94" si="107">CI91+CJ91-CK91</f>
        <v>0</v>
      </c>
      <c r="CM91" s="143"/>
      <c r="CN91" s="143"/>
      <c r="CO91" s="13">
        <f t="shared" ref="CO91:CO94" si="108">CL91+CM91-CN91</f>
        <v>0</v>
      </c>
      <c r="CP91" s="143"/>
      <c r="CQ91" s="143"/>
      <c r="CR91" s="13">
        <f t="shared" ref="CR91:CR94" si="109">CO91+CP91-CQ91</f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7.25" hidden="1" customHeight="1">
      <c r="A92" s="135" t="s">
        <v>209</v>
      </c>
      <c r="B92" s="3" t="s">
        <v>212</v>
      </c>
      <c r="C92" s="104" t="s">
        <v>27</v>
      </c>
      <c r="D92" s="34">
        <v>20</v>
      </c>
      <c r="E92" s="9" t="s">
        <v>68</v>
      </c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472</v>
      </c>
      <c r="CZ92" s="171">
        <f t="shared" si="45"/>
        <v>0</v>
      </c>
      <c r="DA92" s="48"/>
      <c r="DB92" s="2">
        <f t="shared" si="49"/>
        <v>0</v>
      </c>
      <c r="DC92" s="62"/>
      <c r="DD92" s="143"/>
      <c r="DE92" s="149">
        <f t="shared" si="50"/>
        <v>0</v>
      </c>
    </row>
    <row r="93" spans="1:109" ht="16.2">
      <c r="A93" s="33"/>
      <c r="B93" s="56"/>
      <c r="C93" s="138"/>
      <c r="D93" s="44"/>
      <c r="E93" s="44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5">
        <f t="shared" si="43"/>
        <v>0</v>
      </c>
      <c r="CW93" s="4">
        <f t="shared" si="43"/>
        <v>0</v>
      </c>
      <c r="CX93" s="6">
        <f t="shared" si="95"/>
        <v>0</v>
      </c>
      <c r="CY93" s="165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A94" s="33"/>
      <c r="B94" s="36"/>
      <c r="C94" s="104"/>
      <c r="D94" s="34"/>
      <c r="E94" s="9"/>
      <c r="F94" s="14">
        <v>0</v>
      </c>
      <c r="G94" s="143"/>
      <c r="H94" s="143"/>
      <c r="I94" s="13">
        <f t="shared" si="73"/>
        <v>0</v>
      </c>
      <c r="J94" s="143"/>
      <c r="K94" s="143"/>
      <c r="L94" s="13">
        <f t="shared" si="74"/>
        <v>0</v>
      </c>
      <c r="M94" s="143"/>
      <c r="N94" s="143"/>
      <c r="O94" s="13">
        <f t="shared" si="75"/>
        <v>0</v>
      </c>
      <c r="P94" s="143"/>
      <c r="Q94" s="143"/>
      <c r="R94" s="30">
        <f t="shared" si="76"/>
        <v>0</v>
      </c>
      <c r="S94" s="143"/>
      <c r="T94" s="143"/>
      <c r="U94" s="13">
        <f t="shared" si="77"/>
        <v>0</v>
      </c>
      <c r="V94" s="143"/>
      <c r="W94" s="143"/>
      <c r="X94" s="13">
        <f t="shared" si="78"/>
        <v>0</v>
      </c>
      <c r="Y94" s="143"/>
      <c r="Z94" s="143"/>
      <c r="AA94" s="13">
        <f t="shared" si="57"/>
        <v>0</v>
      </c>
      <c r="AB94" s="143"/>
      <c r="AC94" s="143"/>
      <c r="AD94" s="13">
        <f t="shared" si="80"/>
        <v>0</v>
      </c>
      <c r="AE94" s="143"/>
      <c r="AF94" s="143"/>
      <c r="AG94" s="13">
        <f t="shared" si="81"/>
        <v>0</v>
      </c>
      <c r="AH94" s="143"/>
      <c r="AI94" s="143"/>
      <c r="AJ94" s="13">
        <f t="shared" si="82"/>
        <v>0</v>
      </c>
      <c r="AK94" s="143"/>
      <c r="AL94" s="143"/>
      <c r="AM94" s="13">
        <f t="shared" si="83"/>
        <v>0</v>
      </c>
      <c r="AN94" s="143"/>
      <c r="AO94" s="143"/>
      <c r="AP94" s="13">
        <f t="shared" si="84"/>
        <v>0</v>
      </c>
      <c r="AQ94" s="143"/>
      <c r="AR94" s="143"/>
      <c r="AS94" s="13">
        <f t="shared" si="85"/>
        <v>0</v>
      </c>
      <c r="AT94" s="143"/>
      <c r="AU94" s="143"/>
      <c r="AV94" s="13">
        <f t="shared" si="86"/>
        <v>0</v>
      </c>
      <c r="AW94" s="143"/>
      <c r="AX94" s="143"/>
      <c r="AY94" s="13">
        <f t="shared" si="87"/>
        <v>0</v>
      </c>
      <c r="AZ94" s="143"/>
      <c r="BA94" s="143"/>
      <c r="BB94" s="13">
        <f t="shared" si="88"/>
        <v>0</v>
      </c>
      <c r="BC94" s="143"/>
      <c r="BD94" s="143"/>
      <c r="BE94" s="13">
        <f t="shared" si="89"/>
        <v>0</v>
      </c>
      <c r="BF94" s="143"/>
      <c r="BG94" s="143"/>
      <c r="BH94" s="13">
        <f t="shared" si="90"/>
        <v>0</v>
      </c>
      <c r="BI94" s="143"/>
      <c r="BJ94" s="143"/>
      <c r="BK94" s="13">
        <f t="shared" si="91"/>
        <v>0</v>
      </c>
      <c r="BL94" s="143"/>
      <c r="BM94" s="143"/>
      <c r="BN94" s="13">
        <f t="shared" si="92"/>
        <v>0</v>
      </c>
      <c r="BO94" s="143"/>
      <c r="BP94" s="143"/>
      <c r="BQ94" s="13">
        <f t="shared" si="93"/>
        <v>0</v>
      </c>
      <c r="BR94" s="143"/>
      <c r="BS94" s="143"/>
      <c r="BT94" s="13">
        <f t="shared" si="37"/>
        <v>0</v>
      </c>
      <c r="BU94" s="143"/>
      <c r="BV94" s="143"/>
      <c r="BW94" s="13">
        <f t="shared" si="94"/>
        <v>0</v>
      </c>
      <c r="BX94" s="143"/>
      <c r="BY94" s="143"/>
      <c r="BZ94" s="13">
        <f t="shared" si="103"/>
        <v>0</v>
      </c>
      <c r="CA94" s="143"/>
      <c r="CB94" s="143"/>
      <c r="CC94" s="13">
        <f t="shared" si="104"/>
        <v>0</v>
      </c>
      <c r="CD94" s="143"/>
      <c r="CE94" s="143"/>
      <c r="CF94" s="13">
        <f t="shared" si="105"/>
        <v>0</v>
      </c>
      <c r="CG94" s="143"/>
      <c r="CH94" s="143"/>
      <c r="CI94" s="13">
        <f t="shared" si="106"/>
        <v>0</v>
      </c>
      <c r="CJ94" s="143"/>
      <c r="CK94" s="143"/>
      <c r="CL94" s="13">
        <f t="shared" si="107"/>
        <v>0</v>
      </c>
      <c r="CM94" s="143"/>
      <c r="CN94" s="143"/>
      <c r="CO94" s="13">
        <f t="shared" si="108"/>
        <v>0</v>
      </c>
      <c r="CP94" s="143"/>
      <c r="CQ94" s="143"/>
      <c r="CR94" s="13">
        <f t="shared" si="109"/>
        <v>0</v>
      </c>
      <c r="CS94" s="143"/>
      <c r="CT94" s="143"/>
      <c r="CU94" s="14">
        <f t="shared" si="42"/>
        <v>0</v>
      </c>
      <c r="CV94" s="139">
        <f t="shared" si="43"/>
        <v>0</v>
      </c>
      <c r="CW94" s="140">
        <f t="shared" si="43"/>
        <v>0</v>
      </c>
      <c r="CX94" s="141">
        <f t="shared" si="95"/>
        <v>0</v>
      </c>
      <c r="CY94" s="166">
        <v>0</v>
      </c>
      <c r="CZ94" s="171">
        <f t="shared" si="45"/>
        <v>0</v>
      </c>
      <c r="DB94" s="2">
        <f t="shared" si="49"/>
        <v>0</v>
      </c>
      <c r="DC94" s="62"/>
      <c r="DD94" s="143"/>
      <c r="DE94" s="149">
        <f t="shared" si="50"/>
        <v>0</v>
      </c>
    </row>
    <row r="95" spans="1:109" ht="16.8" thickBot="1">
      <c r="B95" s="36"/>
      <c r="C95" s="104"/>
      <c r="D95" s="34"/>
      <c r="E95" s="9"/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Y95" s="47" t="s">
        <v>127</v>
      </c>
      <c r="CZ95" s="173">
        <f>SUM(CZ5:CZ94)</f>
        <v>138506.25</v>
      </c>
      <c r="DA95" s="48"/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Z96" s="174">
        <f>CZ95*1.08</f>
        <v>149586.75</v>
      </c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  <row r="134" spans="6:99">
      <c r="F134" s="32"/>
      <c r="G134" s="21"/>
      <c r="H134" s="21"/>
      <c r="I134" s="15"/>
      <c r="J134" s="21"/>
      <c r="K134" s="21"/>
      <c r="L134" s="15"/>
      <c r="M134" s="21"/>
      <c r="N134" s="27"/>
      <c r="O134" s="15"/>
      <c r="P134" s="21"/>
      <c r="Q134" s="27"/>
      <c r="R134" s="15"/>
      <c r="S134" s="21"/>
      <c r="T134" s="21"/>
      <c r="U134" s="15"/>
      <c r="V134" s="21"/>
      <c r="W134" s="21"/>
      <c r="X134" s="15"/>
      <c r="Y134" s="21"/>
      <c r="Z134" s="21"/>
      <c r="AA134" s="15"/>
      <c r="AB134" s="21"/>
      <c r="AC134" s="21"/>
      <c r="AD134" s="15"/>
      <c r="AE134" s="21"/>
      <c r="AF134" s="27"/>
      <c r="AG134" s="15"/>
      <c r="AH134" s="21"/>
      <c r="AI134" s="27"/>
      <c r="AJ134" s="15"/>
      <c r="AK134" s="21"/>
      <c r="AL134" s="27"/>
      <c r="AM134" s="15"/>
      <c r="AN134" s="21"/>
      <c r="AO134" s="25"/>
      <c r="AP134" s="15"/>
      <c r="AQ134" s="21"/>
      <c r="AR134" s="27"/>
      <c r="AS134" s="21"/>
      <c r="AT134" s="21"/>
      <c r="AU134" s="21"/>
      <c r="AV134" s="15"/>
      <c r="AW134" s="21"/>
      <c r="AX134" s="27"/>
      <c r="AY134" s="15"/>
      <c r="AZ134" s="21"/>
      <c r="BA134" s="27"/>
      <c r="BB134" s="15"/>
      <c r="BC134" s="21"/>
      <c r="BD134" s="21"/>
      <c r="BE134" s="15"/>
      <c r="BF134" s="21"/>
      <c r="BG134" s="21"/>
      <c r="BH134" s="15"/>
      <c r="BI134" s="21"/>
      <c r="BJ134" s="27"/>
      <c r="BK134" s="15"/>
      <c r="BL134" s="21"/>
      <c r="BM134" s="21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41"/>
      <c r="BY134" s="15"/>
      <c r="BZ134" s="15"/>
      <c r="CA134" s="15"/>
      <c r="CB134" s="15"/>
      <c r="CC134" s="15"/>
      <c r="CD134" s="15"/>
      <c r="CE134" s="41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2F78D-7DBC-4181-B3FC-88EA756C5555}">
  <sheetPr codeName="Sheet47">
    <tabColor rgb="FF00B0F0"/>
    <pageSetUpPr fitToPage="1"/>
  </sheetPr>
  <dimension ref="A1:DE134"/>
  <sheetViews>
    <sheetView tabSelected="1" zoomScale="160" zoomScaleNormal="160" workbookViewId="0">
      <pane xSplit="5" ySplit="4" topLeftCell="BS74" activePane="bottomRight" state="frozen"/>
      <selection pane="topRight" activeCell="F1" sqref="F1"/>
      <selection pane="bottomLeft" activeCell="A5" sqref="A5"/>
      <selection pane="bottomRight" activeCell="CA78" sqref="CA78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customWidth="1"/>
    <col min="9" max="9" width="5" style="10" customWidth="1"/>
    <col min="10" max="11" width="5" style="19" customWidth="1"/>
    <col min="12" max="12" width="5" style="10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customWidth="1"/>
    <col min="17" max="17" width="5" style="26" customWidth="1"/>
    <col min="18" max="18" width="5.109375" style="10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12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/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5</v>
      </c>
      <c r="E6" s="34" t="s">
        <v>26</v>
      </c>
      <c r="F6" s="14">
        <v>15</v>
      </c>
      <c r="G6" s="62"/>
      <c r="H6" s="143">
        <f>2+3</f>
        <v>5</v>
      </c>
      <c r="I6" s="13">
        <f t="shared" si="0"/>
        <v>10</v>
      </c>
      <c r="J6" s="62">
        <v>20</v>
      </c>
      <c r="K6" s="143">
        <f>8</f>
        <v>8</v>
      </c>
      <c r="L6" s="13">
        <f t="shared" si="1"/>
        <v>22</v>
      </c>
      <c r="M6" s="62"/>
      <c r="N6" s="143">
        <f>6</f>
        <v>6</v>
      </c>
      <c r="O6" s="13">
        <f t="shared" si="2"/>
        <v>16</v>
      </c>
      <c r="P6" s="62"/>
      <c r="Q6" s="143">
        <f>3+1</f>
        <v>4</v>
      </c>
      <c r="R6" s="13">
        <f t="shared" si="3"/>
        <v>12</v>
      </c>
      <c r="S6" s="62"/>
      <c r="T6" s="143"/>
      <c r="U6" s="13">
        <f t="shared" si="4"/>
        <v>12</v>
      </c>
      <c r="V6" s="62">
        <v>10</v>
      </c>
      <c r="W6" s="143">
        <v>3</v>
      </c>
      <c r="X6" s="13">
        <f t="shared" si="5"/>
        <v>19</v>
      </c>
      <c r="Y6" s="62"/>
      <c r="Z6" s="143"/>
      <c r="AA6" s="13">
        <f t="shared" ref="AA6:AA68" si="27">X6+Y6-Z6</f>
        <v>19</v>
      </c>
      <c r="AB6" s="62">
        <v>10</v>
      </c>
      <c r="AC6" s="143">
        <f>6+2</f>
        <v>8</v>
      </c>
      <c r="AD6" s="13">
        <f t="shared" ref="AD6:AD68" si="28">AA6+AB6-AC6</f>
        <v>21</v>
      </c>
      <c r="AE6" s="62"/>
      <c r="AF6" s="143">
        <f>7</f>
        <v>7</v>
      </c>
      <c r="AG6" s="13">
        <f t="shared" ref="AG6:AG68" si="29">AD6+AE6-AF6</f>
        <v>14</v>
      </c>
      <c r="AH6" s="62"/>
      <c r="AI6" s="143"/>
      <c r="AJ6" s="13">
        <f t="shared" ref="AJ6:AJ68" si="30">AG6+AH6-AI6</f>
        <v>14</v>
      </c>
      <c r="AK6" s="62"/>
      <c r="AL6" s="143">
        <f>2</f>
        <v>2</v>
      </c>
      <c r="AM6" s="13">
        <f t="shared" si="6"/>
        <v>12</v>
      </c>
      <c r="AN6" s="62"/>
      <c r="AO6" s="143">
        <f>3</f>
        <v>3</v>
      </c>
      <c r="AP6" s="13">
        <f t="shared" si="7"/>
        <v>9</v>
      </c>
      <c r="AQ6" s="62"/>
      <c r="AR6" s="143"/>
      <c r="AS6" s="13">
        <f t="shared" si="8"/>
        <v>9</v>
      </c>
      <c r="AT6" s="62"/>
      <c r="AU6" s="143"/>
      <c r="AV6" s="13">
        <f t="shared" si="9"/>
        <v>9</v>
      </c>
      <c r="AW6" s="62">
        <v>10</v>
      </c>
      <c r="AX6" s="143">
        <f>3+4</f>
        <v>7</v>
      </c>
      <c r="AY6" s="13">
        <f t="shared" si="10"/>
        <v>12</v>
      </c>
      <c r="AZ6" s="62">
        <v>10</v>
      </c>
      <c r="BA6" s="143"/>
      <c r="BB6" s="13">
        <f t="shared" si="11"/>
        <v>22</v>
      </c>
      <c r="BC6" s="62"/>
      <c r="BD6" s="143">
        <v>6</v>
      </c>
      <c r="BE6" s="13">
        <f t="shared" si="12"/>
        <v>16</v>
      </c>
      <c r="BF6" s="62"/>
      <c r="BG6" s="143">
        <f>2+1</f>
        <v>3</v>
      </c>
      <c r="BH6" s="13">
        <f t="shared" si="13"/>
        <v>13</v>
      </c>
      <c r="BI6" s="62">
        <v>10</v>
      </c>
      <c r="BJ6" s="143">
        <f>6+2</f>
        <v>8</v>
      </c>
      <c r="BK6" s="13">
        <f t="shared" si="14"/>
        <v>15</v>
      </c>
      <c r="BL6" s="62"/>
      <c r="BM6" s="143"/>
      <c r="BN6" s="13">
        <f t="shared" si="15"/>
        <v>15</v>
      </c>
      <c r="BO6" s="62"/>
      <c r="BP6" s="143"/>
      <c r="BQ6" s="13">
        <f t="shared" si="16"/>
        <v>15</v>
      </c>
      <c r="BR6" s="62"/>
      <c r="BS6" s="143">
        <f>4+3</f>
        <v>7</v>
      </c>
      <c r="BT6" s="13">
        <f t="shared" si="17"/>
        <v>8</v>
      </c>
      <c r="BU6" s="62">
        <v>10</v>
      </c>
      <c r="BV6" s="143"/>
      <c r="BW6" s="13">
        <f t="shared" si="18"/>
        <v>18</v>
      </c>
      <c r="BX6" s="62"/>
      <c r="BY6" s="143"/>
      <c r="BZ6" s="13">
        <f t="shared" si="19"/>
        <v>18</v>
      </c>
      <c r="CA6" s="62"/>
      <c r="CB6" s="143">
        <v>2</v>
      </c>
      <c r="CC6" s="13">
        <f t="shared" si="20"/>
        <v>16</v>
      </c>
      <c r="CD6" s="62"/>
      <c r="CE6" s="143">
        <f>4+4</f>
        <v>8</v>
      </c>
      <c r="CF6" s="13">
        <f t="shared" si="21"/>
        <v>8</v>
      </c>
      <c r="CG6" s="62"/>
      <c r="CH6" s="143"/>
      <c r="CI6" s="13">
        <f t="shared" ref="CI6:CI69" si="31">CF6+CG6-CH6</f>
        <v>8</v>
      </c>
      <c r="CJ6" s="62"/>
      <c r="CK6" s="143"/>
      <c r="CL6" s="13">
        <f t="shared" ref="CL6:CL69" si="32">CI6+CJ6-CK6</f>
        <v>8</v>
      </c>
      <c r="CM6" s="62"/>
      <c r="CN6" s="143">
        <f>1+1</f>
        <v>2</v>
      </c>
      <c r="CO6" s="13">
        <f t="shared" si="22"/>
        <v>6</v>
      </c>
      <c r="CP6" s="62"/>
      <c r="CQ6" s="143">
        <v>2</v>
      </c>
      <c r="CR6" s="13">
        <f t="shared" ref="CR6:CR69" si="33">CO6+CP6-CQ6</f>
        <v>4</v>
      </c>
      <c r="CS6" s="62"/>
      <c r="CT6" s="143"/>
      <c r="CU6" s="14">
        <f t="shared" si="23"/>
        <v>4</v>
      </c>
      <c r="CV6" s="5">
        <f t="shared" si="24"/>
        <v>80</v>
      </c>
      <c r="CW6" s="4">
        <f t="shared" si="24"/>
        <v>91</v>
      </c>
      <c r="CX6" s="6">
        <f t="shared" si="25"/>
        <v>4</v>
      </c>
      <c r="CY6" s="162">
        <v>210</v>
      </c>
      <c r="CZ6" s="171">
        <f t="shared" si="26"/>
        <v>840</v>
      </c>
      <c r="DB6" s="2">
        <f t="shared" ref="DB6:DB69" si="34">CU6</f>
        <v>4</v>
      </c>
      <c r="DC6" s="61"/>
      <c r="DD6" s="143"/>
      <c r="DE6" s="149">
        <f t="shared" ref="DE6:DE70" si="35">DC6+DB6-DD6</f>
        <v>4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>
        <v>20</v>
      </c>
      <c r="E8" s="35" t="s">
        <v>26</v>
      </c>
      <c r="F8" s="14">
        <v>13</v>
      </c>
      <c r="G8" s="62">
        <v>20</v>
      </c>
      <c r="H8" s="143">
        <v>7</v>
      </c>
      <c r="I8" s="13">
        <f t="shared" si="0"/>
        <v>26</v>
      </c>
      <c r="J8" s="62"/>
      <c r="K8" s="143">
        <v>6</v>
      </c>
      <c r="L8" s="13">
        <f t="shared" si="1"/>
        <v>20</v>
      </c>
      <c r="M8" s="62"/>
      <c r="N8" s="143"/>
      <c r="O8" s="13">
        <f t="shared" si="2"/>
        <v>20</v>
      </c>
      <c r="P8" s="62">
        <v>20</v>
      </c>
      <c r="Q8" s="143">
        <v>7</v>
      </c>
      <c r="R8" s="13">
        <f t="shared" si="3"/>
        <v>33</v>
      </c>
      <c r="S8" s="62"/>
      <c r="T8" s="143">
        <v>7</v>
      </c>
      <c r="U8" s="13">
        <f t="shared" si="4"/>
        <v>26</v>
      </c>
      <c r="V8" s="62">
        <v>20</v>
      </c>
      <c r="W8" s="143">
        <v>13</v>
      </c>
      <c r="X8" s="13">
        <f t="shared" si="5"/>
        <v>33</v>
      </c>
      <c r="Y8" s="62"/>
      <c r="Z8" s="143"/>
      <c r="AA8" s="13">
        <f t="shared" si="27"/>
        <v>33</v>
      </c>
      <c r="AB8" s="62"/>
      <c r="AC8" s="143">
        <v>7</v>
      </c>
      <c r="AD8" s="13">
        <f t="shared" si="28"/>
        <v>26</v>
      </c>
      <c r="AE8" s="62"/>
      <c r="AF8" s="143">
        <v>10</v>
      </c>
      <c r="AG8" s="13">
        <f t="shared" si="29"/>
        <v>16</v>
      </c>
      <c r="AH8" s="62"/>
      <c r="AI8" s="143"/>
      <c r="AJ8" s="13">
        <f t="shared" si="30"/>
        <v>16</v>
      </c>
      <c r="AK8" s="62">
        <v>20</v>
      </c>
      <c r="AL8" s="143">
        <v>8</v>
      </c>
      <c r="AM8" s="13">
        <f t="shared" si="6"/>
        <v>28</v>
      </c>
      <c r="AN8" s="62"/>
      <c r="AO8" s="143">
        <v>2</v>
      </c>
      <c r="AP8" s="13">
        <f t="shared" si="7"/>
        <v>26</v>
      </c>
      <c r="AQ8" s="62">
        <v>20</v>
      </c>
      <c r="AR8" s="143">
        <v>13</v>
      </c>
      <c r="AS8" s="13">
        <f t="shared" si="8"/>
        <v>33</v>
      </c>
      <c r="AT8" s="62"/>
      <c r="AU8" s="143"/>
      <c r="AV8" s="13">
        <f t="shared" si="9"/>
        <v>33</v>
      </c>
      <c r="AW8" s="62"/>
      <c r="AX8" s="143">
        <v>6</v>
      </c>
      <c r="AY8" s="13">
        <f t="shared" si="10"/>
        <v>27</v>
      </c>
      <c r="AZ8" s="62"/>
      <c r="BA8" s="143">
        <v>10</v>
      </c>
      <c r="BB8" s="13">
        <f t="shared" si="11"/>
        <v>17</v>
      </c>
      <c r="BC8" s="62"/>
      <c r="BD8" s="143"/>
      <c r="BE8" s="13">
        <f t="shared" si="12"/>
        <v>17</v>
      </c>
      <c r="BF8" s="62">
        <v>20</v>
      </c>
      <c r="BG8" s="143">
        <v>5</v>
      </c>
      <c r="BH8" s="13">
        <f t="shared" si="13"/>
        <v>32</v>
      </c>
      <c r="BI8" s="62"/>
      <c r="BJ8" s="143">
        <v>4</v>
      </c>
      <c r="BK8" s="13">
        <f t="shared" si="14"/>
        <v>28</v>
      </c>
      <c r="BL8" s="62"/>
      <c r="BM8" s="143">
        <v>13</v>
      </c>
      <c r="BN8" s="13">
        <f t="shared" si="15"/>
        <v>15</v>
      </c>
      <c r="BO8" s="62"/>
      <c r="BP8" s="143"/>
      <c r="BQ8" s="13">
        <f t="shared" si="16"/>
        <v>15</v>
      </c>
      <c r="BR8" s="62">
        <v>20</v>
      </c>
      <c r="BS8" s="143">
        <v>6</v>
      </c>
      <c r="BT8" s="13">
        <f t="shared" si="17"/>
        <v>29</v>
      </c>
      <c r="BU8" s="62">
        <v>20</v>
      </c>
      <c r="BV8" s="143">
        <v>10</v>
      </c>
      <c r="BW8" s="13">
        <f t="shared" si="18"/>
        <v>39</v>
      </c>
      <c r="BX8" s="62"/>
      <c r="BY8" s="143"/>
      <c r="BZ8" s="13">
        <f t="shared" si="19"/>
        <v>39</v>
      </c>
      <c r="CA8" s="62"/>
      <c r="CB8" s="143">
        <v>8</v>
      </c>
      <c r="CC8" s="13">
        <f t="shared" si="20"/>
        <v>31</v>
      </c>
      <c r="CD8" s="62">
        <v>20</v>
      </c>
      <c r="CE8" s="143">
        <v>8</v>
      </c>
      <c r="CF8" s="13">
        <f t="shared" si="21"/>
        <v>43</v>
      </c>
      <c r="CG8" s="62"/>
      <c r="CH8" s="143">
        <v>14</v>
      </c>
      <c r="CI8" s="13">
        <f t="shared" si="31"/>
        <v>29</v>
      </c>
      <c r="CJ8" s="62">
        <v>20</v>
      </c>
      <c r="CK8" s="143"/>
      <c r="CL8" s="13">
        <f t="shared" si="32"/>
        <v>49</v>
      </c>
      <c r="CM8" s="62"/>
      <c r="CN8" s="143">
        <v>14</v>
      </c>
      <c r="CO8" s="13">
        <f t="shared" si="22"/>
        <v>35</v>
      </c>
      <c r="CP8" s="62"/>
      <c r="CQ8" s="143">
        <v>19</v>
      </c>
      <c r="CR8" s="13">
        <f t="shared" si="33"/>
        <v>16</v>
      </c>
      <c r="CS8" s="62"/>
      <c r="CT8" s="143"/>
      <c r="CU8" s="14">
        <f t="shared" si="23"/>
        <v>16</v>
      </c>
      <c r="CV8" s="5">
        <f t="shared" si="24"/>
        <v>200</v>
      </c>
      <c r="CW8" s="4">
        <f t="shared" si="24"/>
        <v>197</v>
      </c>
      <c r="CX8" s="6">
        <f t="shared" si="25"/>
        <v>16</v>
      </c>
      <c r="CY8" s="162">
        <v>125</v>
      </c>
      <c r="CZ8" s="171">
        <f t="shared" si="26"/>
        <v>2000</v>
      </c>
      <c r="DB8" s="2">
        <f t="shared" si="34"/>
        <v>16</v>
      </c>
      <c r="DC8" s="61"/>
      <c r="DD8" s="143"/>
      <c r="DE8" s="149">
        <f t="shared" si="35"/>
        <v>16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340</v>
      </c>
      <c r="E12" s="51" t="s">
        <v>27</v>
      </c>
      <c r="F12" s="14">
        <v>35</v>
      </c>
      <c r="G12" s="62">
        <v>40</v>
      </c>
      <c r="H12" s="143">
        <f>4+8</f>
        <v>12</v>
      </c>
      <c r="I12" s="13">
        <f t="shared" si="0"/>
        <v>63</v>
      </c>
      <c r="J12" s="62">
        <v>20</v>
      </c>
      <c r="K12" s="143">
        <f>4+32</f>
        <v>36</v>
      </c>
      <c r="L12" s="13">
        <f t="shared" si="1"/>
        <v>47</v>
      </c>
      <c r="M12" s="62"/>
      <c r="N12" s="143"/>
      <c r="O12" s="13">
        <f t="shared" si="2"/>
        <v>47</v>
      </c>
      <c r="P12" s="62">
        <v>20</v>
      </c>
      <c r="Q12" s="143">
        <f>4+24+9</f>
        <v>37</v>
      </c>
      <c r="R12" s="13">
        <f t="shared" si="3"/>
        <v>30</v>
      </c>
      <c r="S12" s="62">
        <v>20</v>
      </c>
      <c r="T12" s="143">
        <f>2</f>
        <v>2</v>
      </c>
      <c r="U12" s="13">
        <f t="shared" si="4"/>
        <v>48</v>
      </c>
      <c r="V12" s="62">
        <f>-15+20+25</f>
        <v>30</v>
      </c>
      <c r="W12" s="143">
        <f>5+43</f>
        <v>48</v>
      </c>
      <c r="X12" s="13">
        <f t="shared" si="5"/>
        <v>30</v>
      </c>
      <c r="Y12" s="62"/>
      <c r="Z12" s="143"/>
      <c r="AA12" s="13">
        <f t="shared" si="27"/>
        <v>30</v>
      </c>
      <c r="AB12" s="62">
        <v>20</v>
      </c>
      <c r="AC12" s="143">
        <f>4+13</f>
        <v>17</v>
      </c>
      <c r="AD12" s="13">
        <f t="shared" si="28"/>
        <v>33</v>
      </c>
      <c r="AE12" s="62">
        <v>20</v>
      </c>
      <c r="AF12" s="143">
        <f>2+29</f>
        <v>31</v>
      </c>
      <c r="AG12" s="13">
        <f t="shared" si="29"/>
        <v>22</v>
      </c>
      <c r="AH12" s="62"/>
      <c r="AI12" s="143"/>
      <c r="AJ12" s="13">
        <f t="shared" si="30"/>
        <v>22</v>
      </c>
      <c r="AK12" s="62">
        <f>-5+20+15</f>
        <v>30</v>
      </c>
      <c r="AL12" s="143">
        <v>22</v>
      </c>
      <c r="AM12" s="13">
        <f t="shared" si="6"/>
        <v>30</v>
      </c>
      <c r="AN12" s="62">
        <f>40+15</f>
        <v>55</v>
      </c>
      <c r="AO12" s="143">
        <f>3+26</f>
        <v>29</v>
      </c>
      <c r="AP12" s="13">
        <f t="shared" si="7"/>
        <v>56</v>
      </c>
      <c r="AQ12" s="62">
        <f>20+10</f>
        <v>30</v>
      </c>
      <c r="AR12" s="143">
        <f>6+49</f>
        <v>55</v>
      </c>
      <c r="AS12" s="13">
        <f t="shared" si="8"/>
        <v>31</v>
      </c>
      <c r="AT12" s="62"/>
      <c r="AU12" s="143"/>
      <c r="AV12" s="13">
        <f t="shared" si="9"/>
        <v>31</v>
      </c>
      <c r="AW12" s="62">
        <v>40</v>
      </c>
      <c r="AX12" s="143">
        <f>6+23</f>
        <v>29</v>
      </c>
      <c r="AY12" s="13">
        <f t="shared" si="10"/>
        <v>42</v>
      </c>
      <c r="AZ12" s="62"/>
      <c r="BA12" s="143">
        <f>6+26</f>
        <v>32</v>
      </c>
      <c r="BB12" s="13">
        <f t="shared" si="11"/>
        <v>10</v>
      </c>
      <c r="BC12" s="62"/>
      <c r="BD12" s="143"/>
      <c r="BE12" s="13">
        <f t="shared" si="12"/>
        <v>10</v>
      </c>
      <c r="BF12" s="62">
        <f>-9+20+20</f>
        <v>31</v>
      </c>
      <c r="BG12" s="143">
        <v>10</v>
      </c>
      <c r="BH12" s="13">
        <f t="shared" si="13"/>
        <v>31</v>
      </c>
      <c r="BI12" s="62">
        <v>20</v>
      </c>
      <c r="BJ12" s="143">
        <v>12</v>
      </c>
      <c r="BK12" s="13">
        <f t="shared" si="14"/>
        <v>39</v>
      </c>
      <c r="BL12" s="62">
        <f>20+20</f>
        <v>40</v>
      </c>
      <c r="BM12" s="143">
        <f>3+35</f>
        <v>38</v>
      </c>
      <c r="BN12" s="13">
        <f t="shared" si="15"/>
        <v>41</v>
      </c>
      <c r="BO12" s="62"/>
      <c r="BP12" s="143"/>
      <c r="BQ12" s="13">
        <f t="shared" si="16"/>
        <v>41</v>
      </c>
      <c r="BR12" s="62">
        <v>20</v>
      </c>
      <c r="BS12" s="143">
        <f>3+12</f>
        <v>15</v>
      </c>
      <c r="BT12" s="13">
        <f t="shared" si="17"/>
        <v>46</v>
      </c>
      <c r="BU12" s="62">
        <v>20</v>
      </c>
      <c r="BV12" s="143">
        <f>2+28</f>
        <v>30</v>
      </c>
      <c r="BW12" s="13">
        <f t="shared" si="18"/>
        <v>36</v>
      </c>
      <c r="BX12" s="62"/>
      <c r="BY12" s="143"/>
      <c r="BZ12" s="13">
        <f t="shared" si="19"/>
        <v>36</v>
      </c>
      <c r="CA12" s="62">
        <f>20+20</f>
        <v>40</v>
      </c>
      <c r="CB12" s="143">
        <f>2+20</f>
        <v>22</v>
      </c>
      <c r="CC12" s="13">
        <f t="shared" si="20"/>
        <v>54</v>
      </c>
      <c r="CD12" s="62">
        <v>20</v>
      </c>
      <c r="CE12" s="143">
        <f>4+12</f>
        <v>16</v>
      </c>
      <c r="CF12" s="13">
        <f t="shared" si="21"/>
        <v>58</v>
      </c>
      <c r="CG12" s="62">
        <f>20+20</f>
        <v>40</v>
      </c>
      <c r="CH12" s="143">
        <f>8+41</f>
        <v>49</v>
      </c>
      <c r="CI12" s="13">
        <f t="shared" si="31"/>
        <v>49</v>
      </c>
      <c r="CJ12" s="62">
        <f>20+20</f>
        <v>40</v>
      </c>
      <c r="CK12" s="143"/>
      <c r="CL12" s="13">
        <f t="shared" si="32"/>
        <v>89</v>
      </c>
      <c r="CM12" s="62">
        <f>40+14</f>
        <v>54</v>
      </c>
      <c r="CN12" s="143">
        <f>4+39</f>
        <v>43</v>
      </c>
      <c r="CO12" s="13">
        <f t="shared" si="22"/>
        <v>100</v>
      </c>
      <c r="CP12" s="62"/>
      <c r="CQ12" s="143">
        <f>8+32</f>
        <v>40</v>
      </c>
      <c r="CR12" s="13">
        <f t="shared" si="33"/>
        <v>60</v>
      </c>
      <c r="CS12" s="62"/>
      <c r="CT12" s="143"/>
      <c r="CU12" s="14">
        <f t="shared" si="23"/>
        <v>60</v>
      </c>
      <c r="CV12" s="5">
        <f t="shared" si="24"/>
        <v>650</v>
      </c>
      <c r="CW12" s="4">
        <f t="shared" si="24"/>
        <v>625</v>
      </c>
      <c r="CX12" s="6">
        <f t="shared" si="25"/>
        <v>60</v>
      </c>
      <c r="CY12" s="162">
        <v>48</v>
      </c>
      <c r="CZ12" s="171">
        <f t="shared" si="26"/>
        <v>2880</v>
      </c>
      <c r="DB12" s="2">
        <f t="shared" si="34"/>
        <v>60</v>
      </c>
      <c r="DC12" s="61"/>
      <c r="DD12" s="143"/>
      <c r="DE12" s="149">
        <f t="shared" si="35"/>
        <v>60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3</v>
      </c>
      <c r="E13" s="34" t="s">
        <v>26</v>
      </c>
      <c r="F13" s="14">
        <v>8.75</v>
      </c>
      <c r="G13" s="62"/>
      <c r="H13" s="143">
        <f>1+2.75+1</f>
        <v>4.75</v>
      </c>
      <c r="I13" s="13">
        <f t="shared" si="0"/>
        <v>4</v>
      </c>
      <c r="J13" s="62">
        <v>6</v>
      </c>
      <c r="K13" s="143">
        <f>1.25</f>
        <v>1.25</v>
      </c>
      <c r="L13" s="13">
        <f t="shared" si="1"/>
        <v>8.75</v>
      </c>
      <c r="M13" s="62"/>
      <c r="N13" s="143"/>
      <c r="O13" s="13">
        <f t="shared" si="2"/>
        <v>8.75</v>
      </c>
      <c r="P13" s="62"/>
      <c r="Q13" s="143">
        <f>1.5</f>
        <v>1.5</v>
      </c>
      <c r="R13" s="30">
        <f t="shared" si="3"/>
        <v>7.25</v>
      </c>
      <c r="S13" s="62"/>
      <c r="T13" s="143"/>
      <c r="U13" s="13">
        <f t="shared" si="4"/>
        <v>7.25</v>
      </c>
      <c r="V13" s="62">
        <v>6</v>
      </c>
      <c r="W13" s="143">
        <f>2.75+1</f>
        <v>3.75</v>
      </c>
      <c r="X13" s="13">
        <f t="shared" si="5"/>
        <v>9.5</v>
      </c>
      <c r="Y13" s="62"/>
      <c r="Z13" s="143"/>
      <c r="AA13" s="13">
        <f t="shared" si="27"/>
        <v>9.5</v>
      </c>
      <c r="AB13" s="62">
        <v>6</v>
      </c>
      <c r="AC13" s="143">
        <f>2.5+0.5+1</f>
        <v>4</v>
      </c>
      <c r="AD13" s="13">
        <f t="shared" si="28"/>
        <v>11.5</v>
      </c>
      <c r="AE13" s="62"/>
      <c r="AF13" s="143">
        <f>1</f>
        <v>1</v>
      </c>
      <c r="AG13" s="13">
        <f t="shared" si="29"/>
        <v>10.5</v>
      </c>
      <c r="AH13" s="62"/>
      <c r="AI13" s="143">
        <f>1+1.5</f>
        <v>2.5</v>
      </c>
      <c r="AJ13" s="13">
        <f t="shared" si="30"/>
        <v>8</v>
      </c>
      <c r="AK13" s="62"/>
      <c r="AL13" s="143">
        <f>2+1</f>
        <v>3</v>
      </c>
      <c r="AM13" s="13">
        <f t="shared" si="6"/>
        <v>5</v>
      </c>
      <c r="AN13" s="62">
        <v>6</v>
      </c>
      <c r="AO13" s="143">
        <f>1</f>
        <v>1</v>
      </c>
      <c r="AP13" s="13">
        <f t="shared" si="7"/>
        <v>10</v>
      </c>
      <c r="AQ13" s="62"/>
      <c r="AR13" s="143">
        <v>1</v>
      </c>
      <c r="AS13" s="13">
        <f t="shared" si="8"/>
        <v>9</v>
      </c>
      <c r="AT13" s="62"/>
      <c r="AU13" s="143"/>
      <c r="AV13" s="13">
        <f t="shared" si="9"/>
        <v>9</v>
      </c>
      <c r="AW13" s="62">
        <v>5</v>
      </c>
      <c r="AX13" s="143">
        <f>2.5</f>
        <v>2.5</v>
      </c>
      <c r="AY13" s="13">
        <f t="shared" si="10"/>
        <v>11.5</v>
      </c>
      <c r="AZ13" s="62"/>
      <c r="BA13" s="143">
        <f>1+1.25</f>
        <v>2.25</v>
      </c>
      <c r="BB13" s="13">
        <f t="shared" si="11"/>
        <v>9.25</v>
      </c>
      <c r="BC13" s="62"/>
      <c r="BD13" s="143">
        <f>1+1</f>
        <v>2</v>
      </c>
      <c r="BE13" s="13">
        <f t="shared" si="12"/>
        <v>7.25</v>
      </c>
      <c r="BF13" s="62"/>
      <c r="BG13" s="143">
        <v>1</v>
      </c>
      <c r="BH13" s="13">
        <f t="shared" si="13"/>
        <v>6.25</v>
      </c>
      <c r="BI13" s="62">
        <v>6</v>
      </c>
      <c r="BJ13" s="143"/>
      <c r="BK13" s="13">
        <f t="shared" si="14"/>
        <v>12.25</v>
      </c>
      <c r="BL13" s="62"/>
      <c r="BM13" s="143">
        <f>1.75+1</f>
        <v>2.75</v>
      </c>
      <c r="BN13" s="13">
        <f t="shared" si="15"/>
        <v>9.5</v>
      </c>
      <c r="BO13" s="62"/>
      <c r="BP13" s="143"/>
      <c r="BQ13" s="13">
        <f t="shared" si="16"/>
        <v>9.5</v>
      </c>
      <c r="BR13" s="62"/>
      <c r="BS13" s="143">
        <f>2.25+1.5+1+0.5</f>
        <v>5.25</v>
      </c>
      <c r="BT13" s="13">
        <f t="shared" si="17"/>
        <v>4.25</v>
      </c>
      <c r="BU13" s="62">
        <v>5</v>
      </c>
      <c r="BV13" s="143">
        <f>1</f>
        <v>1</v>
      </c>
      <c r="BW13" s="13">
        <f t="shared" si="18"/>
        <v>8.25</v>
      </c>
      <c r="BX13" s="62"/>
      <c r="BY13" s="143">
        <f>0.5</f>
        <v>0.5</v>
      </c>
      <c r="BZ13" s="13">
        <f t="shared" si="19"/>
        <v>7.75</v>
      </c>
      <c r="CA13" s="62"/>
      <c r="CB13" s="143">
        <f>1.75</f>
        <v>1.75</v>
      </c>
      <c r="CC13" s="13">
        <f t="shared" si="20"/>
        <v>6</v>
      </c>
      <c r="CD13" s="62"/>
      <c r="CE13" s="143"/>
      <c r="CF13" s="13">
        <f t="shared" si="21"/>
        <v>6</v>
      </c>
      <c r="CG13" s="62"/>
      <c r="CH13" s="143">
        <f>2</f>
        <v>2</v>
      </c>
      <c r="CI13" s="13">
        <f>CF13+CG13-CH13</f>
        <v>4</v>
      </c>
      <c r="CJ13" s="62">
        <v>12</v>
      </c>
      <c r="CK13" s="143"/>
      <c r="CL13" s="13">
        <f>CI13+CJ13-CK13</f>
        <v>16</v>
      </c>
      <c r="CM13" s="62"/>
      <c r="CN13" s="143">
        <v>2</v>
      </c>
      <c r="CO13" s="13">
        <f t="shared" si="22"/>
        <v>14</v>
      </c>
      <c r="CP13" s="62"/>
      <c r="CQ13" s="143">
        <f>2+3</f>
        <v>5</v>
      </c>
      <c r="CR13" s="13">
        <f t="shared" si="33"/>
        <v>9</v>
      </c>
      <c r="CS13" s="62"/>
      <c r="CT13" s="143"/>
      <c r="CU13" s="14">
        <f t="shared" si="23"/>
        <v>9</v>
      </c>
      <c r="CV13" s="5">
        <f t="shared" si="24"/>
        <v>52</v>
      </c>
      <c r="CW13" s="4">
        <f t="shared" si="24"/>
        <v>51.75</v>
      </c>
      <c r="CX13" s="6">
        <f t="shared" si="25"/>
        <v>9</v>
      </c>
      <c r="CY13" s="162">
        <v>760</v>
      </c>
      <c r="CZ13" s="171">
        <f t="shared" si="26"/>
        <v>6840</v>
      </c>
      <c r="DB13" s="2">
        <f t="shared" si="34"/>
        <v>9</v>
      </c>
      <c r="DC13" s="61"/>
      <c r="DD13" s="143"/>
      <c r="DE13" s="149">
        <f t="shared" si="35"/>
        <v>9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17</v>
      </c>
      <c r="G14" s="62">
        <v>40</v>
      </c>
      <c r="H14" s="143">
        <f>2+1.5+11</f>
        <v>14.5</v>
      </c>
      <c r="I14" s="13">
        <f t="shared" si="0"/>
        <v>42.5</v>
      </c>
      <c r="J14" s="62">
        <v>16</v>
      </c>
      <c r="K14" s="143">
        <f>3+3+1.5+1+2+2.5+3+10+0.5</f>
        <v>26.5</v>
      </c>
      <c r="L14" s="13">
        <f t="shared" si="1"/>
        <v>32</v>
      </c>
      <c r="M14" s="62"/>
      <c r="N14" s="143">
        <f>1</f>
        <v>1</v>
      </c>
      <c r="O14" s="13">
        <f t="shared" si="2"/>
        <v>31</v>
      </c>
      <c r="P14" s="62">
        <v>16</v>
      </c>
      <c r="Q14" s="143">
        <f>2+2+1.5+2+1.5+11</f>
        <v>20</v>
      </c>
      <c r="R14" s="30">
        <f t="shared" si="3"/>
        <v>27</v>
      </c>
      <c r="S14" s="62">
        <v>8</v>
      </c>
      <c r="T14" s="143">
        <f>3+1.5+0.5+5</f>
        <v>10</v>
      </c>
      <c r="U14" s="13">
        <f t="shared" si="4"/>
        <v>25</v>
      </c>
      <c r="V14" s="62">
        <v>16</v>
      </c>
      <c r="W14" s="143">
        <f>2+19</f>
        <v>21</v>
      </c>
      <c r="X14" s="13">
        <f t="shared" si="5"/>
        <v>20</v>
      </c>
      <c r="Y14" s="62"/>
      <c r="Z14" s="143"/>
      <c r="AA14" s="13">
        <f t="shared" si="27"/>
        <v>20</v>
      </c>
      <c r="AB14" s="62">
        <v>24</v>
      </c>
      <c r="AC14" s="143">
        <f>1+1.5+11</f>
        <v>13.5</v>
      </c>
      <c r="AD14" s="13">
        <f t="shared" si="28"/>
        <v>30.5</v>
      </c>
      <c r="AE14" s="62">
        <v>24</v>
      </c>
      <c r="AF14" s="143">
        <f>4+1.5+1.5+1.5+17</f>
        <v>25.5</v>
      </c>
      <c r="AG14" s="13">
        <f t="shared" si="29"/>
        <v>29</v>
      </c>
      <c r="AH14" s="62"/>
      <c r="AI14" s="143">
        <f>1.5+1+1.5</f>
        <v>4</v>
      </c>
      <c r="AJ14" s="13">
        <f t="shared" si="30"/>
        <v>25</v>
      </c>
      <c r="AK14" s="62">
        <v>16</v>
      </c>
      <c r="AL14" s="143">
        <f>11</f>
        <v>11</v>
      </c>
      <c r="AM14" s="13">
        <f t="shared" si="6"/>
        <v>30</v>
      </c>
      <c r="AN14" s="62">
        <v>8</v>
      </c>
      <c r="AO14" s="143">
        <f>3+0.5+0.5+0.5+0.5+0.5+4</f>
        <v>9.5</v>
      </c>
      <c r="AP14" s="13">
        <f t="shared" si="7"/>
        <v>28.5</v>
      </c>
      <c r="AQ14" s="62">
        <v>16</v>
      </c>
      <c r="AR14" s="143">
        <v>19</v>
      </c>
      <c r="AS14" s="13">
        <f t="shared" si="8"/>
        <v>25.5</v>
      </c>
      <c r="AT14" s="62"/>
      <c r="AU14" s="143"/>
      <c r="AV14" s="13">
        <f t="shared" si="9"/>
        <v>25.5</v>
      </c>
      <c r="AW14" s="62">
        <v>24</v>
      </c>
      <c r="AX14" s="143">
        <f>1.5+1+17+2</f>
        <v>21.5</v>
      </c>
      <c r="AY14" s="180">
        <f t="shared" si="10"/>
        <v>28</v>
      </c>
      <c r="AZ14" s="62">
        <v>24</v>
      </c>
      <c r="BA14" s="143">
        <f>0.5+1.5+1+3+15</f>
        <v>21</v>
      </c>
      <c r="BB14" s="13">
        <f t="shared" si="11"/>
        <v>31</v>
      </c>
      <c r="BC14" s="62"/>
      <c r="BD14" s="143">
        <f>1</f>
        <v>1</v>
      </c>
      <c r="BE14" s="13">
        <f t="shared" si="12"/>
        <v>30</v>
      </c>
      <c r="BF14" s="62">
        <v>16</v>
      </c>
      <c r="BG14" s="143">
        <f>2+2+1.5+1.5+10</f>
        <v>17</v>
      </c>
      <c r="BH14" s="13">
        <f t="shared" si="13"/>
        <v>29</v>
      </c>
      <c r="BI14" s="62">
        <v>16</v>
      </c>
      <c r="BJ14" s="143">
        <f>3+1.5+0.5+6</f>
        <v>11</v>
      </c>
      <c r="BK14" s="13">
        <f t="shared" si="14"/>
        <v>34</v>
      </c>
      <c r="BL14" s="62">
        <v>8</v>
      </c>
      <c r="BM14" s="143">
        <f>1.5+22</f>
        <v>23.5</v>
      </c>
      <c r="BN14" s="13">
        <f t="shared" si="15"/>
        <v>18.5</v>
      </c>
      <c r="BO14" s="62"/>
      <c r="BP14" s="143"/>
      <c r="BQ14" s="13">
        <f t="shared" si="16"/>
        <v>18.5</v>
      </c>
      <c r="BR14" s="62">
        <v>24</v>
      </c>
      <c r="BS14" s="143">
        <f>1+1+14</f>
        <v>16</v>
      </c>
      <c r="BT14" s="13">
        <f t="shared" si="17"/>
        <v>26.5</v>
      </c>
      <c r="BU14" s="62">
        <v>16</v>
      </c>
      <c r="BV14" s="143">
        <f>3+13</f>
        <v>16</v>
      </c>
      <c r="BW14" s="13">
        <f t="shared" si="18"/>
        <v>26.5</v>
      </c>
      <c r="BX14" s="62"/>
      <c r="BY14" s="143"/>
      <c r="BZ14" s="13">
        <f t="shared" si="19"/>
        <v>26.5</v>
      </c>
      <c r="CA14" s="62">
        <v>16</v>
      </c>
      <c r="CB14" s="143">
        <f>5</f>
        <v>5</v>
      </c>
      <c r="CC14" s="13">
        <f t="shared" si="20"/>
        <v>37.5</v>
      </c>
      <c r="CD14" s="62">
        <v>8</v>
      </c>
      <c r="CE14" s="143">
        <f>5+0.5+0.5+0.5+0.5+0.5+0.5+10</f>
        <v>18</v>
      </c>
      <c r="CF14" s="13">
        <f t="shared" si="21"/>
        <v>27.5</v>
      </c>
      <c r="CG14" s="62">
        <v>8</v>
      </c>
      <c r="CH14" s="143">
        <f>23</f>
        <v>23</v>
      </c>
      <c r="CI14" s="13">
        <f t="shared" si="31"/>
        <v>12.5</v>
      </c>
      <c r="CJ14" s="62">
        <v>40</v>
      </c>
      <c r="CK14" s="143"/>
      <c r="CL14" s="13">
        <f t="shared" si="32"/>
        <v>52.5</v>
      </c>
      <c r="CM14" s="62">
        <v>16</v>
      </c>
      <c r="CN14" s="143">
        <v>10</v>
      </c>
      <c r="CO14" s="13">
        <f t="shared" si="22"/>
        <v>58.5</v>
      </c>
      <c r="CP14" s="62"/>
      <c r="CQ14" s="143">
        <f>30</f>
        <v>30</v>
      </c>
      <c r="CR14" s="13">
        <f t="shared" si="33"/>
        <v>28.5</v>
      </c>
      <c r="CS14" s="62"/>
      <c r="CT14" s="143"/>
      <c r="CU14" s="14">
        <f t="shared" si="23"/>
        <v>28.5</v>
      </c>
      <c r="CV14" s="5">
        <f t="shared" si="24"/>
        <v>400</v>
      </c>
      <c r="CW14" s="4">
        <f t="shared" si="24"/>
        <v>388.5</v>
      </c>
      <c r="CX14" s="6">
        <f t="shared" si="25"/>
        <v>28.5</v>
      </c>
      <c r="CY14" s="162">
        <v>175</v>
      </c>
      <c r="CZ14" s="171">
        <f t="shared" si="26"/>
        <v>4987.5</v>
      </c>
      <c r="DB14" s="2">
        <f t="shared" si="34"/>
        <v>28.5</v>
      </c>
      <c r="DC14" s="61"/>
      <c r="DD14" s="143"/>
      <c r="DE14" s="149">
        <f t="shared" si="35"/>
        <v>28.5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67</v>
      </c>
      <c r="G15" s="62">
        <v>40</v>
      </c>
      <c r="H15" s="143">
        <f>8+4+7+11+2</f>
        <v>32</v>
      </c>
      <c r="I15" s="13">
        <f t="shared" si="0"/>
        <v>75</v>
      </c>
      <c r="J15" s="62">
        <v>80</v>
      </c>
      <c r="K15" s="143">
        <f>8+7+7</f>
        <v>22</v>
      </c>
      <c r="L15" s="13">
        <f t="shared" si="1"/>
        <v>133</v>
      </c>
      <c r="M15" s="62"/>
      <c r="N15" s="143">
        <f>11+8</f>
        <v>19</v>
      </c>
      <c r="O15" s="13">
        <f t="shared" si="2"/>
        <v>114</v>
      </c>
      <c r="P15" s="62"/>
      <c r="Q15" s="143">
        <f>17+7+8+8+2</f>
        <v>42</v>
      </c>
      <c r="R15" s="30">
        <f t="shared" si="3"/>
        <v>72</v>
      </c>
      <c r="S15" s="62">
        <v>40</v>
      </c>
      <c r="T15" s="143">
        <f>20+15+2</f>
        <v>37</v>
      </c>
      <c r="U15" s="13">
        <f t="shared" si="4"/>
        <v>75</v>
      </c>
      <c r="V15" s="62"/>
      <c r="W15" s="143">
        <f>5+8</f>
        <v>13</v>
      </c>
      <c r="X15" s="13">
        <f t="shared" si="5"/>
        <v>62</v>
      </c>
      <c r="Y15" s="62"/>
      <c r="Z15" s="143"/>
      <c r="AA15" s="13">
        <f t="shared" si="27"/>
        <v>62</v>
      </c>
      <c r="AB15" s="62">
        <v>90</v>
      </c>
      <c r="AC15" s="143">
        <f>9+8+6</f>
        <v>23</v>
      </c>
      <c r="AD15" s="13">
        <f t="shared" si="28"/>
        <v>129</v>
      </c>
      <c r="AE15" s="62"/>
      <c r="AF15" s="143">
        <f>20+7+1</f>
        <v>28</v>
      </c>
      <c r="AG15" s="13">
        <f t="shared" si="29"/>
        <v>101</v>
      </c>
      <c r="AH15" s="62"/>
      <c r="AI15" s="143">
        <v>7</v>
      </c>
      <c r="AJ15" s="13">
        <f t="shared" si="30"/>
        <v>94</v>
      </c>
      <c r="AK15" s="62">
        <v>80</v>
      </c>
      <c r="AL15" s="143">
        <f>13+17+19</f>
        <v>49</v>
      </c>
      <c r="AM15" s="13">
        <f t="shared" si="6"/>
        <v>125</v>
      </c>
      <c r="AN15" s="62"/>
      <c r="AO15" s="143">
        <f>30+2</f>
        <v>32</v>
      </c>
      <c r="AP15" s="13">
        <f t="shared" si="7"/>
        <v>93</v>
      </c>
      <c r="AQ15" s="62"/>
      <c r="AR15" s="143">
        <f>7+4</f>
        <v>11</v>
      </c>
      <c r="AS15" s="13">
        <f t="shared" si="8"/>
        <v>82</v>
      </c>
      <c r="AT15" s="62"/>
      <c r="AU15" s="143"/>
      <c r="AV15" s="13">
        <f t="shared" si="9"/>
        <v>82</v>
      </c>
      <c r="AW15" s="62">
        <v>45</v>
      </c>
      <c r="AX15" s="143">
        <f>8+7+4+13+20</f>
        <v>52</v>
      </c>
      <c r="AY15" s="13">
        <f t="shared" si="10"/>
        <v>75</v>
      </c>
      <c r="AZ15" s="62">
        <v>60</v>
      </c>
      <c r="BA15" s="143">
        <f>8+4+7+4+7+2</f>
        <v>32</v>
      </c>
      <c r="BB15" s="13">
        <f t="shared" si="11"/>
        <v>103</v>
      </c>
      <c r="BC15" s="62"/>
      <c r="BD15" s="143">
        <f>13+9</f>
        <v>22</v>
      </c>
      <c r="BE15" s="13">
        <f t="shared" si="12"/>
        <v>81</v>
      </c>
      <c r="BF15" s="62">
        <f>40+15</f>
        <v>55</v>
      </c>
      <c r="BG15" s="143">
        <f>19+9+4</f>
        <v>32</v>
      </c>
      <c r="BH15" s="13">
        <f t="shared" si="13"/>
        <v>104</v>
      </c>
      <c r="BI15" s="62">
        <v>40</v>
      </c>
      <c r="BJ15" s="143">
        <f>30+15+2</f>
        <v>47</v>
      </c>
      <c r="BK15" s="13">
        <f t="shared" si="14"/>
        <v>97</v>
      </c>
      <c r="BL15" s="62"/>
      <c r="BM15" s="143">
        <f>5</f>
        <v>5</v>
      </c>
      <c r="BN15" s="13">
        <f t="shared" si="15"/>
        <v>92</v>
      </c>
      <c r="BO15" s="62"/>
      <c r="BP15" s="143"/>
      <c r="BQ15" s="13">
        <f t="shared" si="16"/>
        <v>92</v>
      </c>
      <c r="BR15" s="62">
        <v>40</v>
      </c>
      <c r="BS15" s="143">
        <f>11+7+8</f>
        <v>26</v>
      </c>
      <c r="BT15" s="13">
        <f t="shared" si="17"/>
        <v>106</v>
      </c>
      <c r="BU15" s="62">
        <v>45</v>
      </c>
      <c r="BV15" s="143">
        <f>1+20+7+7+5+7</f>
        <v>47</v>
      </c>
      <c r="BW15" s="13">
        <f t="shared" si="18"/>
        <v>104</v>
      </c>
      <c r="BX15" s="62"/>
      <c r="BY15" s="143">
        <f>19</f>
        <v>19</v>
      </c>
      <c r="BZ15" s="13">
        <f t="shared" si="19"/>
        <v>85</v>
      </c>
      <c r="CA15" s="62">
        <v>40</v>
      </c>
      <c r="CB15" s="143">
        <v>12</v>
      </c>
      <c r="CC15" s="13">
        <f t="shared" si="20"/>
        <v>113</v>
      </c>
      <c r="CD15" s="62"/>
      <c r="CE15" s="143">
        <f>40+2</f>
        <v>42</v>
      </c>
      <c r="CF15" s="13">
        <f t="shared" si="21"/>
        <v>71</v>
      </c>
      <c r="CG15" s="62"/>
      <c r="CH15" s="143"/>
      <c r="CI15" s="13">
        <f t="shared" si="31"/>
        <v>71</v>
      </c>
      <c r="CJ15" s="62"/>
      <c r="CK15" s="143"/>
      <c r="CL15" s="13">
        <f t="shared" si="32"/>
        <v>71</v>
      </c>
      <c r="CM15" s="62">
        <v>40</v>
      </c>
      <c r="CN15" s="143"/>
      <c r="CO15" s="13">
        <f t="shared" si="22"/>
        <v>111</v>
      </c>
      <c r="CP15" s="62"/>
      <c r="CQ15" s="143">
        <v>20</v>
      </c>
      <c r="CR15" s="13">
        <f t="shared" si="33"/>
        <v>91</v>
      </c>
      <c r="CS15" s="62"/>
      <c r="CT15" s="143"/>
      <c r="CU15" s="14">
        <f t="shared" si="23"/>
        <v>91</v>
      </c>
      <c r="CV15" s="5">
        <f t="shared" si="24"/>
        <v>695</v>
      </c>
      <c r="CW15" s="4">
        <f t="shared" si="24"/>
        <v>671</v>
      </c>
      <c r="CX15" s="6">
        <f t="shared" si="25"/>
        <v>91</v>
      </c>
      <c r="CY15" s="162">
        <v>90</v>
      </c>
      <c r="CZ15" s="171">
        <f t="shared" si="26"/>
        <v>8190</v>
      </c>
      <c r="DB15" s="2">
        <f t="shared" si="34"/>
        <v>91</v>
      </c>
      <c r="DC15" s="61"/>
      <c r="DD15" s="143"/>
      <c r="DE15" s="149">
        <f t="shared" si="35"/>
        <v>91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10</v>
      </c>
      <c r="G16" s="176">
        <v>25</v>
      </c>
      <c r="H16" s="143">
        <f>4</f>
        <v>4</v>
      </c>
      <c r="I16" s="13">
        <f t="shared" si="0"/>
        <v>31</v>
      </c>
      <c r="J16" s="176">
        <v>25</v>
      </c>
      <c r="K16" s="143">
        <v>2</v>
      </c>
      <c r="L16" s="13">
        <f t="shared" si="1"/>
        <v>54</v>
      </c>
      <c r="M16" s="176"/>
      <c r="N16" s="143">
        <f>14+5+2+4+4</f>
        <v>29</v>
      </c>
      <c r="O16" s="13">
        <f t="shared" si="2"/>
        <v>25</v>
      </c>
      <c r="P16" s="176">
        <v>7</v>
      </c>
      <c r="Q16" s="143">
        <f>4+4+2+2</f>
        <v>12</v>
      </c>
      <c r="R16" s="30">
        <f t="shared" si="3"/>
        <v>20</v>
      </c>
      <c r="S16" s="176"/>
      <c r="T16" s="143">
        <f>2+1+2+1+1</f>
        <v>7</v>
      </c>
      <c r="U16" s="13">
        <f t="shared" si="4"/>
        <v>13</v>
      </c>
      <c r="V16" s="176">
        <v>30</v>
      </c>
      <c r="W16" s="143">
        <v>4</v>
      </c>
      <c r="X16" s="13">
        <f t="shared" si="5"/>
        <v>39</v>
      </c>
      <c r="Y16" s="176"/>
      <c r="Z16" s="143"/>
      <c r="AA16" s="13">
        <f t="shared" si="27"/>
        <v>39</v>
      </c>
      <c r="AB16" s="176"/>
      <c r="AC16" s="143">
        <f>4+10</f>
        <v>14</v>
      </c>
      <c r="AD16" s="13">
        <f t="shared" si="28"/>
        <v>25</v>
      </c>
      <c r="AE16" s="176">
        <v>14</v>
      </c>
      <c r="AF16" s="143">
        <f>14+2</f>
        <v>16</v>
      </c>
      <c r="AG16" s="13">
        <f t="shared" si="29"/>
        <v>23</v>
      </c>
      <c r="AH16" s="176"/>
      <c r="AI16" s="143">
        <f>3</f>
        <v>3</v>
      </c>
      <c r="AJ16" s="13">
        <f t="shared" si="30"/>
        <v>20</v>
      </c>
      <c r="AK16" s="176">
        <v>25</v>
      </c>
      <c r="AL16" s="143">
        <f>4+12</f>
        <v>16</v>
      </c>
      <c r="AM16" s="13">
        <f t="shared" si="6"/>
        <v>29</v>
      </c>
      <c r="AN16" s="176"/>
      <c r="AO16" s="143">
        <f>1+9+2</f>
        <v>12</v>
      </c>
      <c r="AP16" s="13">
        <f t="shared" si="7"/>
        <v>17</v>
      </c>
      <c r="AQ16" s="176">
        <v>12</v>
      </c>
      <c r="AR16" s="143">
        <f>4+8</f>
        <v>12</v>
      </c>
      <c r="AS16" s="13">
        <f t="shared" si="8"/>
        <v>17</v>
      </c>
      <c r="AT16" s="176"/>
      <c r="AU16" s="143"/>
      <c r="AV16" s="13">
        <f t="shared" si="9"/>
        <v>17</v>
      </c>
      <c r="AW16" s="176">
        <v>4</v>
      </c>
      <c r="AX16" s="143">
        <f>4+3+2</f>
        <v>9</v>
      </c>
      <c r="AY16" s="13">
        <f t="shared" si="10"/>
        <v>12</v>
      </c>
      <c r="AZ16" s="176">
        <v>25</v>
      </c>
      <c r="BA16" s="143">
        <f>4+2</f>
        <v>6</v>
      </c>
      <c r="BB16" s="13">
        <f t="shared" si="11"/>
        <v>31</v>
      </c>
      <c r="BC16" s="176"/>
      <c r="BD16" s="143">
        <f>2+4+14</f>
        <v>20</v>
      </c>
      <c r="BE16" s="13">
        <f t="shared" si="12"/>
        <v>11</v>
      </c>
      <c r="BF16" s="176"/>
      <c r="BG16" s="143"/>
      <c r="BH16" s="13">
        <f t="shared" si="13"/>
        <v>11</v>
      </c>
      <c r="BI16" s="176">
        <v>9</v>
      </c>
      <c r="BJ16" s="143">
        <f>2</f>
        <v>2</v>
      </c>
      <c r="BK16" s="13">
        <f t="shared" si="14"/>
        <v>18</v>
      </c>
      <c r="BL16" s="176">
        <v>8</v>
      </c>
      <c r="BM16" s="143">
        <v>6</v>
      </c>
      <c r="BN16" s="13">
        <f t="shared" si="15"/>
        <v>20</v>
      </c>
      <c r="BO16" s="176"/>
      <c r="BP16" s="143"/>
      <c r="BQ16" s="13">
        <f t="shared" si="16"/>
        <v>20</v>
      </c>
      <c r="BR16" s="176">
        <v>30</v>
      </c>
      <c r="BS16" s="143">
        <f>10+2</f>
        <v>12</v>
      </c>
      <c r="BT16" s="13">
        <f t="shared" si="17"/>
        <v>38</v>
      </c>
      <c r="BU16" s="176"/>
      <c r="BV16" s="143">
        <f>14+5</f>
        <v>19</v>
      </c>
      <c r="BW16" s="13">
        <f t="shared" si="18"/>
        <v>19</v>
      </c>
      <c r="BX16" s="176"/>
      <c r="BY16" s="143"/>
      <c r="BZ16" s="13">
        <f t="shared" si="19"/>
        <v>19</v>
      </c>
      <c r="CA16" s="176"/>
      <c r="CB16" s="143">
        <f>2</f>
        <v>2</v>
      </c>
      <c r="CC16" s="13">
        <f t="shared" si="20"/>
        <v>17</v>
      </c>
      <c r="CD16" s="176"/>
      <c r="CE16" s="143">
        <f>6+1+1+1</f>
        <v>9</v>
      </c>
      <c r="CF16" s="13">
        <f t="shared" si="21"/>
        <v>8</v>
      </c>
      <c r="CG16" s="176"/>
      <c r="CH16" s="143">
        <f>2</f>
        <v>2</v>
      </c>
      <c r="CI16" s="13">
        <f t="shared" si="31"/>
        <v>6</v>
      </c>
      <c r="CJ16" s="176">
        <v>2</v>
      </c>
      <c r="CK16" s="143"/>
      <c r="CL16" s="13">
        <f t="shared" si="32"/>
        <v>8</v>
      </c>
      <c r="CM16" s="176"/>
      <c r="CN16" s="143">
        <f>2</f>
        <v>2</v>
      </c>
      <c r="CO16" s="13">
        <f t="shared" si="22"/>
        <v>6</v>
      </c>
      <c r="CP16" s="176"/>
      <c r="CQ16" s="143">
        <v>2</v>
      </c>
      <c r="CR16" s="13">
        <f t="shared" si="33"/>
        <v>4</v>
      </c>
      <c r="CS16" s="176"/>
      <c r="CT16" s="143"/>
      <c r="CU16" s="14">
        <f t="shared" si="23"/>
        <v>4</v>
      </c>
      <c r="CV16" s="5">
        <f t="shared" si="24"/>
        <v>216</v>
      </c>
      <c r="CW16" s="4">
        <f t="shared" si="24"/>
        <v>222</v>
      </c>
      <c r="CX16" s="6">
        <f t="shared" si="25"/>
        <v>4</v>
      </c>
      <c r="CY16" s="162">
        <v>100</v>
      </c>
      <c r="CZ16" s="171">
        <f t="shared" si="26"/>
        <v>400</v>
      </c>
      <c r="DB16" s="2">
        <f t="shared" si="34"/>
        <v>4</v>
      </c>
      <c r="DC16" s="63"/>
      <c r="DD16" s="143"/>
      <c r="DE16" s="149">
        <f t="shared" si="35"/>
        <v>4</v>
      </c>
    </row>
    <row r="17" spans="1:109" ht="15.75" customHeight="1">
      <c r="A17" s="33"/>
      <c r="B17" s="49" t="s">
        <v>46</v>
      </c>
      <c r="C17" s="108" t="s">
        <v>47</v>
      </c>
      <c r="D17" s="52" t="s">
        <v>57</v>
      </c>
      <c r="E17" s="52" t="s">
        <v>47</v>
      </c>
      <c r="F17" s="14">
        <v>15</v>
      </c>
      <c r="G17" s="62">
        <f>15+10</f>
        <v>25</v>
      </c>
      <c r="H17" s="143">
        <f>3+8</f>
        <v>11</v>
      </c>
      <c r="I17" s="13">
        <f t="shared" si="0"/>
        <v>29</v>
      </c>
      <c r="J17" s="62">
        <f>15+5</f>
        <v>20</v>
      </c>
      <c r="K17" s="143">
        <f>4+23</f>
        <v>27</v>
      </c>
      <c r="L17" s="13">
        <f t="shared" si="1"/>
        <v>22</v>
      </c>
      <c r="M17" s="62"/>
      <c r="N17" s="143"/>
      <c r="O17" s="13">
        <f t="shared" si="2"/>
        <v>22</v>
      </c>
      <c r="P17" s="62">
        <v>15</v>
      </c>
      <c r="Q17" s="143">
        <f>3+12</f>
        <v>15</v>
      </c>
      <c r="R17" s="30">
        <f t="shared" si="3"/>
        <v>22</v>
      </c>
      <c r="S17" s="62">
        <f>15+30</f>
        <v>45</v>
      </c>
      <c r="T17" s="143">
        <f>16</f>
        <v>16</v>
      </c>
      <c r="U17" s="13">
        <f t="shared" si="4"/>
        <v>51</v>
      </c>
      <c r="V17" s="62">
        <f>-7+15+15</f>
        <v>23</v>
      </c>
      <c r="W17" s="143">
        <f>6+45</f>
        <v>51</v>
      </c>
      <c r="X17" s="13">
        <f t="shared" si="5"/>
        <v>23</v>
      </c>
      <c r="Y17" s="62"/>
      <c r="Z17" s="143"/>
      <c r="AA17" s="13">
        <f t="shared" si="27"/>
        <v>23</v>
      </c>
      <c r="AB17" s="62">
        <f>-16+15+20+10+2</f>
        <v>31</v>
      </c>
      <c r="AC17" s="143">
        <f>2+19+2</f>
        <v>23</v>
      </c>
      <c r="AD17" s="13">
        <f t="shared" si="28"/>
        <v>31</v>
      </c>
      <c r="AE17" s="62">
        <v>15</v>
      </c>
      <c r="AF17" s="143">
        <v>20</v>
      </c>
      <c r="AG17" s="13">
        <f t="shared" si="29"/>
        <v>26</v>
      </c>
      <c r="AH17" s="62"/>
      <c r="AI17" s="143"/>
      <c r="AJ17" s="13">
        <f t="shared" si="30"/>
        <v>26</v>
      </c>
      <c r="AK17" s="62">
        <f>15+5</f>
        <v>20</v>
      </c>
      <c r="AL17" s="143">
        <v>20</v>
      </c>
      <c r="AM17" s="13">
        <f t="shared" si="6"/>
        <v>26</v>
      </c>
      <c r="AN17" s="62">
        <f>15+10+20</f>
        <v>45</v>
      </c>
      <c r="AO17" s="143">
        <f>2+20</f>
        <v>22</v>
      </c>
      <c r="AP17" s="13">
        <f t="shared" si="7"/>
        <v>49</v>
      </c>
      <c r="AQ17" s="62">
        <f>15+10</f>
        <v>25</v>
      </c>
      <c r="AR17" s="143">
        <f>3+40</f>
        <v>43</v>
      </c>
      <c r="AS17" s="13">
        <f t="shared" si="8"/>
        <v>31</v>
      </c>
      <c r="AT17" s="62"/>
      <c r="AU17" s="143"/>
      <c r="AV17" s="13">
        <f t="shared" si="9"/>
        <v>31</v>
      </c>
      <c r="AW17" s="62">
        <f>15+15</f>
        <v>30</v>
      </c>
      <c r="AX17" s="143">
        <f>6+19</f>
        <v>25</v>
      </c>
      <c r="AY17" s="13">
        <f t="shared" si="10"/>
        <v>36</v>
      </c>
      <c r="AZ17" s="62">
        <f>-5+15+15</f>
        <v>25</v>
      </c>
      <c r="BA17" s="143">
        <f>6+30</f>
        <v>36</v>
      </c>
      <c r="BB17" s="13">
        <f t="shared" si="11"/>
        <v>25</v>
      </c>
      <c r="BC17" s="62"/>
      <c r="BD17" s="143"/>
      <c r="BE17" s="13">
        <f t="shared" si="12"/>
        <v>25</v>
      </c>
      <c r="BF17" s="62">
        <v>15</v>
      </c>
      <c r="BG17" s="143">
        <v>14</v>
      </c>
      <c r="BH17" s="13">
        <f t="shared" si="13"/>
        <v>26</v>
      </c>
      <c r="BI17" s="62">
        <f>15+15</f>
        <v>30</v>
      </c>
      <c r="BJ17" s="143">
        <f>18+2</f>
        <v>20</v>
      </c>
      <c r="BK17" s="13">
        <f t="shared" si="14"/>
        <v>36</v>
      </c>
      <c r="BL17" s="62">
        <f>-15+15+17</f>
        <v>17</v>
      </c>
      <c r="BM17" s="143">
        <f>2+34</f>
        <v>36</v>
      </c>
      <c r="BN17" s="13">
        <f t="shared" si="15"/>
        <v>17</v>
      </c>
      <c r="BO17" s="62"/>
      <c r="BP17" s="143"/>
      <c r="BQ17" s="13">
        <f t="shared" si="16"/>
        <v>17</v>
      </c>
      <c r="BR17" s="62">
        <v>15</v>
      </c>
      <c r="BS17" s="143">
        <f>2+3</f>
        <v>5</v>
      </c>
      <c r="BT17" s="13">
        <f t="shared" si="17"/>
        <v>27</v>
      </c>
      <c r="BU17" s="62">
        <f>15+5</f>
        <v>20</v>
      </c>
      <c r="BV17" s="143">
        <f>23+2</f>
        <v>25</v>
      </c>
      <c r="BW17" s="13">
        <f t="shared" si="18"/>
        <v>22</v>
      </c>
      <c r="BX17" s="62"/>
      <c r="BY17" s="143"/>
      <c r="BZ17" s="13">
        <f t="shared" si="19"/>
        <v>22</v>
      </c>
      <c r="CA17" s="62">
        <f>-4+15+30</f>
        <v>41</v>
      </c>
      <c r="CB17" s="143">
        <f>4+17+1</f>
        <v>22</v>
      </c>
      <c r="CC17" s="13">
        <f t="shared" si="20"/>
        <v>41</v>
      </c>
      <c r="CD17" s="62">
        <f>15+20+21</f>
        <v>56</v>
      </c>
      <c r="CE17" s="143">
        <f>4+25</f>
        <v>29</v>
      </c>
      <c r="CF17" s="13">
        <f t="shared" si="21"/>
        <v>68</v>
      </c>
      <c r="CG17" s="62">
        <f>15+40</f>
        <v>55</v>
      </c>
      <c r="CH17" s="143">
        <f>8+46</f>
        <v>54</v>
      </c>
      <c r="CI17" s="13">
        <f t="shared" si="31"/>
        <v>69</v>
      </c>
      <c r="CJ17" s="62">
        <f>15+40</f>
        <v>55</v>
      </c>
      <c r="CK17" s="143"/>
      <c r="CL17" s="13">
        <f t="shared" si="32"/>
        <v>124</v>
      </c>
      <c r="CM17" s="62">
        <f>15+20+18</f>
        <v>53</v>
      </c>
      <c r="CN17" s="143">
        <f>4+25</f>
        <v>29</v>
      </c>
      <c r="CO17" s="13">
        <f t="shared" si="22"/>
        <v>148</v>
      </c>
      <c r="CP17" s="62"/>
      <c r="CQ17" s="143">
        <f>8+72</f>
        <v>80</v>
      </c>
      <c r="CR17" s="13">
        <f t="shared" si="33"/>
        <v>68</v>
      </c>
      <c r="CS17" s="62"/>
      <c r="CT17" s="143"/>
      <c r="CU17" s="14">
        <f t="shared" si="23"/>
        <v>68</v>
      </c>
      <c r="CV17" s="5">
        <f t="shared" si="24"/>
        <v>676</v>
      </c>
      <c r="CW17" s="4">
        <f t="shared" si="24"/>
        <v>623</v>
      </c>
      <c r="CX17" s="6">
        <f t="shared" si="25"/>
        <v>68</v>
      </c>
      <c r="CY17" s="162">
        <v>200</v>
      </c>
      <c r="CZ17" s="171">
        <f t="shared" si="26"/>
        <v>13600</v>
      </c>
      <c r="DB17" s="2">
        <f t="shared" si="34"/>
        <v>68</v>
      </c>
      <c r="DC17" s="61"/>
      <c r="DD17" s="143"/>
      <c r="DE17" s="149">
        <f t="shared" si="35"/>
        <v>68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5.1000000000000023</v>
      </c>
      <c r="G18" s="62"/>
      <c r="H18" s="143">
        <f>1.1</f>
        <v>1.1000000000000001</v>
      </c>
      <c r="I18" s="13">
        <f t="shared" si="0"/>
        <v>4.0000000000000018</v>
      </c>
      <c r="J18" s="62">
        <f>8+1</f>
        <v>9</v>
      </c>
      <c r="K18" s="143">
        <f>1.3</f>
        <v>1.3</v>
      </c>
      <c r="L18" s="13">
        <f t="shared" si="1"/>
        <v>11.700000000000001</v>
      </c>
      <c r="M18" s="62"/>
      <c r="N18" s="143">
        <f>9</f>
        <v>9</v>
      </c>
      <c r="O18" s="13">
        <f t="shared" si="2"/>
        <v>2.7000000000000011</v>
      </c>
      <c r="P18" s="62">
        <v>4</v>
      </c>
      <c r="Q18" s="143">
        <f>1.7</f>
        <v>1.7</v>
      </c>
      <c r="R18" s="30">
        <f t="shared" si="3"/>
        <v>5.0000000000000009</v>
      </c>
      <c r="S18" s="62"/>
      <c r="T18" s="143">
        <f>1+0.4</f>
        <v>1.4</v>
      </c>
      <c r="U18" s="13">
        <f t="shared" si="4"/>
        <v>3.600000000000001</v>
      </c>
      <c r="V18" s="62"/>
      <c r="W18" s="143"/>
      <c r="X18" s="13">
        <f t="shared" si="5"/>
        <v>3.600000000000001</v>
      </c>
      <c r="Y18" s="62"/>
      <c r="Z18" s="143"/>
      <c r="AA18" s="13">
        <f t="shared" si="27"/>
        <v>3.600000000000001</v>
      </c>
      <c r="AB18" s="62">
        <v>4</v>
      </c>
      <c r="AC18" s="143">
        <f>2.6</f>
        <v>2.6</v>
      </c>
      <c r="AD18" s="13">
        <f t="shared" si="28"/>
        <v>5.0000000000000018</v>
      </c>
      <c r="AE18" s="62">
        <v>8</v>
      </c>
      <c r="AF18" s="143">
        <f>1</f>
        <v>1</v>
      </c>
      <c r="AG18" s="13">
        <f>AD18+AE18-AF18</f>
        <v>12.000000000000002</v>
      </c>
      <c r="AH18" s="62"/>
      <c r="AI18" s="143">
        <f>3.5</f>
        <v>3.5</v>
      </c>
      <c r="AJ18" s="13">
        <f t="shared" si="30"/>
        <v>8.5000000000000018</v>
      </c>
      <c r="AK18" s="64">
        <v>3</v>
      </c>
      <c r="AL18" s="143">
        <f>6.2</f>
        <v>6.2</v>
      </c>
      <c r="AM18" s="13">
        <f t="shared" si="6"/>
        <v>5.3000000000000016</v>
      </c>
      <c r="AN18" s="62"/>
      <c r="AO18" s="143">
        <f>0.5</f>
        <v>0.5</v>
      </c>
      <c r="AP18" s="13">
        <f t="shared" si="7"/>
        <v>4.8000000000000016</v>
      </c>
      <c r="AQ18" s="62"/>
      <c r="AR18" s="143"/>
      <c r="AS18" s="13">
        <f t="shared" si="8"/>
        <v>4.8000000000000016</v>
      </c>
      <c r="AT18" s="62"/>
      <c r="AU18" s="143"/>
      <c r="AV18" s="13">
        <f t="shared" si="9"/>
        <v>4.8000000000000016</v>
      </c>
      <c r="AW18" s="62"/>
      <c r="AX18" s="143">
        <f>1.2</f>
        <v>1.2</v>
      </c>
      <c r="AY18" s="13">
        <f t="shared" si="10"/>
        <v>3.6000000000000014</v>
      </c>
      <c r="AZ18" s="62">
        <v>8</v>
      </c>
      <c r="BA18" s="143"/>
      <c r="BB18" s="13">
        <f t="shared" si="11"/>
        <v>11.600000000000001</v>
      </c>
      <c r="BC18" s="62"/>
      <c r="BD18" s="143">
        <f>9</f>
        <v>9</v>
      </c>
      <c r="BE18" s="13">
        <f t="shared" si="12"/>
        <v>2.6000000000000014</v>
      </c>
      <c r="BF18" s="62"/>
      <c r="BG18" s="143">
        <f>1.5</f>
        <v>1.5</v>
      </c>
      <c r="BH18" s="13">
        <f t="shared" si="13"/>
        <v>1.1000000000000014</v>
      </c>
      <c r="BI18" s="62">
        <v>8</v>
      </c>
      <c r="BJ18" s="143">
        <f>0.4</f>
        <v>0.4</v>
      </c>
      <c r="BK18" s="13">
        <f t="shared" si="14"/>
        <v>8.7000000000000011</v>
      </c>
      <c r="BL18" s="64">
        <f>5</f>
        <v>5</v>
      </c>
      <c r="BM18" s="143"/>
      <c r="BN18" s="13">
        <f t="shared" si="15"/>
        <v>13.700000000000001</v>
      </c>
      <c r="BO18" s="62"/>
      <c r="BP18" s="143"/>
      <c r="BQ18" s="13">
        <f t="shared" si="16"/>
        <v>13.700000000000001</v>
      </c>
      <c r="BR18" s="62">
        <v>8</v>
      </c>
      <c r="BS18" s="143">
        <f>2.8+0.7+1.4+2.7</f>
        <v>7.6000000000000005</v>
      </c>
      <c r="BT18" s="13">
        <f t="shared" si="17"/>
        <v>14.100000000000001</v>
      </c>
      <c r="BU18" s="62"/>
      <c r="BV18" s="143">
        <f>1.7+1.7+1.9+1.9</f>
        <v>7.1999999999999993</v>
      </c>
      <c r="BW18" s="13">
        <f t="shared" si="18"/>
        <v>6.9000000000000021</v>
      </c>
      <c r="BX18" s="62"/>
      <c r="BY18" s="143"/>
      <c r="BZ18" s="13">
        <f t="shared" si="19"/>
        <v>6.9000000000000021</v>
      </c>
      <c r="CA18" s="62"/>
      <c r="CB18" s="143"/>
      <c r="CC18" s="13">
        <f t="shared" si="20"/>
        <v>6.9000000000000021</v>
      </c>
      <c r="CD18" s="62"/>
      <c r="CE18" s="143">
        <f>0.4</f>
        <v>0.4</v>
      </c>
      <c r="CF18" s="13">
        <f t="shared" si="21"/>
        <v>6.5000000000000018</v>
      </c>
      <c r="CG18" s="62"/>
      <c r="CH18" s="143"/>
      <c r="CI18" s="13">
        <f t="shared" si="31"/>
        <v>6.5000000000000018</v>
      </c>
      <c r="CJ18" s="62"/>
      <c r="CK18" s="143"/>
      <c r="CL18" s="13">
        <f t="shared" si="32"/>
        <v>6.5000000000000018</v>
      </c>
      <c r="CM18" s="62"/>
      <c r="CN18" s="143"/>
      <c r="CO18" s="13">
        <f t="shared" si="22"/>
        <v>6.5000000000000018</v>
      </c>
      <c r="CP18" s="62"/>
      <c r="CQ18" s="143"/>
      <c r="CR18" s="13">
        <f t="shared" si="33"/>
        <v>6.5000000000000018</v>
      </c>
      <c r="CS18" s="62"/>
      <c r="CT18" s="143"/>
      <c r="CU18" s="14">
        <f t="shared" si="23"/>
        <v>6.5000000000000018</v>
      </c>
      <c r="CV18" s="5">
        <f t="shared" si="24"/>
        <v>57</v>
      </c>
      <c r="CW18" s="4">
        <f t="shared" si="24"/>
        <v>55.6</v>
      </c>
      <c r="CX18" s="6">
        <f t="shared" si="25"/>
        <v>6.5000000000000018</v>
      </c>
      <c r="CY18" s="162">
        <v>480</v>
      </c>
      <c r="CZ18" s="171">
        <f t="shared" si="26"/>
        <v>3120.0000000000009</v>
      </c>
      <c r="DB18" s="2">
        <f t="shared" si="34"/>
        <v>6.5000000000000018</v>
      </c>
      <c r="DC18" s="61"/>
      <c r="DD18" s="143"/>
      <c r="DE18" s="149">
        <f t="shared" si="35"/>
        <v>6.5000000000000018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8.9</v>
      </c>
      <c r="G19" s="62">
        <v>4</v>
      </c>
      <c r="H19" s="143">
        <v>6</v>
      </c>
      <c r="I19" s="13">
        <f t="shared" si="0"/>
        <v>6.9</v>
      </c>
      <c r="J19" s="62">
        <v>8</v>
      </c>
      <c r="K19" s="143">
        <v>4.5</v>
      </c>
      <c r="L19" s="13">
        <f t="shared" si="1"/>
        <v>10.4</v>
      </c>
      <c r="M19" s="62"/>
      <c r="N19" s="143"/>
      <c r="O19" s="13">
        <f t="shared" si="2"/>
        <v>10.4</v>
      </c>
      <c r="P19" s="62"/>
      <c r="Q19" s="143"/>
      <c r="R19" s="30">
        <f t="shared" si="3"/>
        <v>10.4</v>
      </c>
      <c r="S19" s="62"/>
      <c r="T19" s="143">
        <f>0.5</f>
        <v>0.5</v>
      </c>
      <c r="U19" s="13">
        <f t="shared" si="4"/>
        <v>9.9</v>
      </c>
      <c r="V19" s="62"/>
      <c r="W19" s="143"/>
      <c r="X19" s="30">
        <f t="shared" si="5"/>
        <v>9.9</v>
      </c>
      <c r="Y19" s="62"/>
      <c r="Z19" s="143"/>
      <c r="AA19" s="13">
        <f t="shared" si="27"/>
        <v>9.9</v>
      </c>
      <c r="AB19" s="62"/>
      <c r="AC19" s="143">
        <v>3</v>
      </c>
      <c r="AD19" s="13">
        <f t="shared" si="28"/>
        <v>6.9</v>
      </c>
      <c r="AE19" s="62"/>
      <c r="AF19" s="143"/>
      <c r="AG19" s="13">
        <f t="shared" si="29"/>
        <v>6.9</v>
      </c>
      <c r="AH19" s="62"/>
      <c r="AI19" s="143">
        <f>5.7</f>
        <v>5.7</v>
      </c>
      <c r="AJ19" s="13">
        <f t="shared" si="30"/>
        <v>1.2000000000000002</v>
      </c>
      <c r="AK19" s="64">
        <v>3</v>
      </c>
      <c r="AL19" s="143"/>
      <c r="AM19" s="13">
        <f t="shared" si="6"/>
        <v>4.2</v>
      </c>
      <c r="AN19" s="62"/>
      <c r="AO19" s="143"/>
      <c r="AP19" s="13">
        <f t="shared" si="7"/>
        <v>4.2</v>
      </c>
      <c r="AQ19" s="62">
        <v>4</v>
      </c>
      <c r="AR19" s="143"/>
      <c r="AS19" s="13">
        <f t="shared" si="8"/>
        <v>8.1999999999999993</v>
      </c>
      <c r="AT19" s="62"/>
      <c r="AU19" s="143"/>
      <c r="AV19" s="13">
        <f t="shared" si="9"/>
        <v>8.1999999999999993</v>
      </c>
      <c r="AW19" s="62"/>
      <c r="AX19" s="143">
        <f>0.6+3</f>
        <v>3.6</v>
      </c>
      <c r="AY19" s="13">
        <f t="shared" si="10"/>
        <v>4.5999999999999996</v>
      </c>
      <c r="AZ19" s="62">
        <v>8</v>
      </c>
      <c r="BA19" s="143">
        <v>4.5999999999999996</v>
      </c>
      <c r="BB19" s="13">
        <f t="shared" si="11"/>
        <v>8</v>
      </c>
      <c r="BC19" s="62"/>
      <c r="BD19" s="143"/>
      <c r="BE19" s="13">
        <f t="shared" si="12"/>
        <v>8</v>
      </c>
      <c r="BF19" s="62"/>
      <c r="BG19" s="143">
        <v>6</v>
      </c>
      <c r="BH19" s="13">
        <f t="shared" si="13"/>
        <v>2</v>
      </c>
      <c r="BI19" s="62">
        <v>4</v>
      </c>
      <c r="BJ19" s="143"/>
      <c r="BK19" s="13">
        <f t="shared" si="14"/>
        <v>6</v>
      </c>
      <c r="BL19" s="64">
        <f>3.2</f>
        <v>3.2</v>
      </c>
      <c r="BM19" s="143"/>
      <c r="BN19" s="13">
        <f t="shared" si="15"/>
        <v>9.1999999999999993</v>
      </c>
      <c r="BO19" s="62"/>
      <c r="BP19" s="143"/>
      <c r="BQ19" s="13">
        <f t="shared" si="16"/>
        <v>9.1999999999999993</v>
      </c>
      <c r="BR19" s="62"/>
      <c r="BS19" s="143">
        <v>5.2</v>
      </c>
      <c r="BT19" s="13">
        <f t="shared" si="17"/>
        <v>3.9999999999999991</v>
      </c>
      <c r="BU19" s="62">
        <v>5</v>
      </c>
      <c r="BV19" s="143"/>
      <c r="BW19" s="13">
        <f t="shared" si="18"/>
        <v>9</v>
      </c>
      <c r="BX19" s="62"/>
      <c r="BY19" s="143">
        <f>4.3+1.4</f>
        <v>5.6999999999999993</v>
      </c>
      <c r="BZ19" s="13">
        <f t="shared" si="19"/>
        <v>3.3000000000000007</v>
      </c>
      <c r="CA19" s="62"/>
      <c r="CB19" s="143">
        <v>2.7</v>
      </c>
      <c r="CC19" s="13">
        <f t="shared" si="20"/>
        <v>0.60000000000000053</v>
      </c>
      <c r="CD19" s="62"/>
      <c r="CE19" s="143"/>
      <c r="CF19" s="13">
        <f t="shared" si="21"/>
        <v>0.60000000000000053</v>
      </c>
      <c r="CG19" s="62"/>
      <c r="CH19" s="143"/>
      <c r="CI19" s="13">
        <f t="shared" si="31"/>
        <v>0.60000000000000053</v>
      </c>
      <c r="CJ19" s="62"/>
      <c r="CK19" s="143"/>
      <c r="CL19" s="13">
        <f t="shared" si="32"/>
        <v>0.60000000000000053</v>
      </c>
      <c r="CM19" s="62"/>
      <c r="CN19" s="143"/>
      <c r="CO19" s="13">
        <f t="shared" si="22"/>
        <v>0.60000000000000053</v>
      </c>
      <c r="CP19" s="62"/>
      <c r="CQ19" s="143"/>
      <c r="CR19" s="13">
        <f>CO19+CP19-CQ19</f>
        <v>0.60000000000000053</v>
      </c>
      <c r="CS19" s="62"/>
      <c r="CT19" s="143"/>
      <c r="CU19" s="14">
        <f t="shared" si="23"/>
        <v>0.60000000000000053</v>
      </c>
      <c r="CV19" s="5">
        <f t="shared" si="24"/>
        <v>39.200000000000003</v>
      </c>
      <c r="CW19" s="4">
        <f t="shared" si="24"/>
        <v>47.5</v>
      </c>
      <c r="CX19" s="6">
        <f t="shared" si="25"/>
        <v>0.60000000000000053</v>
      </c>
      <c r="CY19" s="162">
        <v>360</v>
      </c>
      <c r="CZ19" s="171">
        <f t="shared" si="26"/>
        <v>216.0000000000002</v>
      </c>
      <c r="DB19" s="2">
        <f t="shared" si="34"/>
        <v>0.60000000000000053</v>
      </c>
      <c r="DC19" s="61"/>
      <c r="DD19" s="143"/>
      <c r="DE19" s="149">
        <f t="shared" si="35"/>
        <v>0.60000000000000053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14.800000000000008</v>
      </c>
      <c r="G22" s="62"/>
      <c r="H22" s="143">
        <f>2+5</f>
        <v>7</v>
      </c>
      <c r="I22" s="13">
        <f t="shared" si="0"/>
        <v>7.8000000000000078</v>
      </c>
      <c r="J22" s="62">
        <v>10</v>
      </c>
      <c r="K22" s="143">
        <v>0.2</v>
      </c>
      <c r="L22" s="13">
        <f t="shared" si="1"/>
        <v>17.600000000000009</v>
      </c>
      <c r="M22" s="62"/>
      <c r="N22" s="143">
        <f>3+2.5</f>
        <v>5.5</v>
      </c>
      <c r="O22" s="13">
        <f t="shared" si="2"/>
        <v>12.100000000000009</v>
      </c>
      <c r="P22" s="62"/>
      <c r="Q22" s="143">
        <f>5.4</f>
        <v>5.4</v>
      </c>
      <c r="R22" s="30">
        <f t="shared" si="3"/>
        <v>6.7000000000000082</v>
      </c>
      <c r="S22" s="62">
        <v>10</v>
      </c>
      <c r="T22" s="143"/>
      <c r="U22" s="13">
        <f t="shared" si="4"/>
        <v>16.70000000000001</v>
      </c>
      <c r="V22" s="62"/>
      <c r="W22" s="143"/>
      <c r="X22" s="13">
        <f t="shared" si="5"/>
        <v>16.70000000000001</v>
      </c>
      <c r="Y22" s="62"/>
      <c r="Z22" s="143"/>
      <c r="AA22" s="13">
        <f t="shared" si="27"/>
        <v>16.70000000000001</v>
      </c>
      <c r="AB22" s="62"/>
      <c r="AC22" s="143">
        <v>1.6</v>
      </c>
      <c r="AD22" s="13">
        <f t="shared" si="28"/>
        <v>15.10000000000001</v>
      </c>
      <c r="AE22" s="62"/>
      <c r="AF22" s="143">
        <f>0.7+1.2</f>
        <v>1.9</v>
      </c>
      <c r="AG22" s="13">
        <f t="shared" si="29"/>
        <v>13.20000000000001</v>
      </c>
      <c r="AH22" s="62"/>
      <c r="AI22" s="143">
        <f>2.7+1.8</f>
        <v>4.5</v>
      </c>
      <c r="AJ22" s="13">
        <f t="shared" si="30"/>
        <v>8.7000000000000099</v>
      </c>
      <c r="AK22" s="62">
        <v>10</v>
      </c>
      <c r="AL22" s="143">
        <f>4.1</f>
        <v>4.0999999999999996</v>
      </c>
      <c r="AM22" s="13">
        <f t="shared" si="6"/>
        <v>14.60000000000001</v>
      </c>
      <c r="AN22" s="62"/>
      <c r="AO22" s="143">
        <f>1</f>
        <v>1</v>
      </c>
      <c r="AP22" s="13">
        <f t="shared" si="7"/>
        <v>13.60000000000001</v>
      </c>
      <c r="AQ22" s="62">
        <v>10</v>
      </c>
      <c r="AR22" s="143"/>
      <c r="AS22" s="13">
        <f t="shared" si="8"/>
        <v>23.600000000000009</v>
      </c>
      <c r="AT22" s="62"/>
      <c r="AU22" s="143"/>
      <c r="AV22" s="13">
        <f t="shared" si="9"/>
        <v>23.600000000000009</v>
      </c>
      <c r="AW22" s="62"/>
      <c r="AX22" s="143">
        <f>2.4+2+5</f>
        <v>9.4</v>
      </c>
      <c r="AY22" s="13">
        <f t="shared" si="10"/>
        <v>14.200000000000008</v>
      </c>
      <c r="AZ22" s="62"/>
      <c r="BA22" s="143">
        <f>0.2</f>
        <v>0.2</v>
      </c>
      <c r="BB22" s="13">
        <f t="shared" si="11"/>
        <v>14.000000000000009</v>
      </c>
      <c r="BC22" s="62"/>
      <c r="BD22" s="143">
        <f>2.5</f>
        <v>2.5</v>
      </c>
      <c r="BE22" s="13">
        <f t="shared" si="12"/>
        <v>11.500000000000009</v>
      </c>
      <c r="BF22" s="62">
        <v>10</v>
      </c>
      <c r="BG22" s="143">
        <f>5.4</f>
        <v>5.4</v>
      </c>
      <c r="BH22" s="13">
        <f t="shared" si="13"/>
        <v>16.100000000000009</v>
      </c>
      <c r="BI22" s="62"/>
      <c r="BJ22" s="143">
        <f>10</f>
        <v>10</v>
      </c>
      <c r="BK22" s="13">
        <f t="shared" si="14"/>
        <v>6.1000000000000085</v>
      </c>
      <c r="BL22" s="62"/>
      <c r="BM22" s="143"/>
      <c r="BN22" s="13">
        <f t="shared" si="15"/>
        <v>6.1000000000000085</v>
      </c>
      <c r="BO22" s="62"/>
      <c r="BP22" s="143"/>
      <c r="BQ22" s="13">
        <f t="shared" si="16"/>
        <v>6.1000000000000085</v>
      </c>
      <c r="BR22" s="62">
        <v>10</v>
      </c>
      <c r="BS22" s="143"/>
      <c r="BT22" s="13">
        <f t="shared" si="17"/>
        <v>16.100000000000009</v>
      </c>
      <c r="BU22" s="62">
        <v>10</v>
      </c>
      <c r="BV22" s="143">
        <f>0.8+2.4+1.3</f>
        <v>4.5</v>
      </c>
      <c r="BW22" s="13">
        <f t="shared" si="18"/>
        <v>21.600000000000009</v>
      </c>
      <c r="BX22" s="62"/>
      <c r="BY22" s="143">
        <f>2+1.9+1.8</f>
        <v>5.7</v>
      </c>
      <c r="BZ22" s="13">
        <f t="shared" si="19"/>
        <v>15.900000000000009</v>
      </c>
      <c r="CA22" s="62"/>
      <c r="CB22" s="143">
        <f>4</f>
        <v>4</v>
      </c>
      <c r="CC22" s="13">
        <f t="shared" si="20"/>
        <v>11.900000000000009</v>
      </c>
      <c r="CD22" s="62"/>
      <c r="CE22" s="143">
        <f>0.9</f>
        <v>0.9</v>
      </c>
      <c r="CF22" s="13">
        <f t="shared" si="21"/>
        <v>11.000000000000009</v>
      </c>
      <c r="CG22" s="62"/>
      <c r="CH22" s="143"/>
      <c r="CI22" s="13">
        <f t="shared" si="31"/>
        <v>11.000000000000009</v>
      </c>
      <c r="CJ22" s="62"/>
      <c r="CK22" s="143"/>
      <c r="CL22" s="13">
        <f t="shared" si="32"/>
        <v>11.000000000000009</v>
      </c>
      <c r="CM22" s="62"/>
      <c r="CN22" s="143">
        <v>0.7</v>
      </c>
      <c r="CO22" s="13">
        <f t="shared" si="22"/>
        <v>10.30000000000001</v>
      </c>
      <c r="CP22" s="62"/>
      <c r="CQ22" s="143"/>
      <c r="CR22" s="13">
        <f t="shared" si="33"/>
        <v>10.30000000000001</v>
      </c>
      <c r="CS22" s="62"/>
      <c r="CT22" s="143"/>
      <c r="CU22" s="14">
        <f t="shared" si="23"/>
        <v>10.30000000000001</v>
      </c>
      <c r="CV22" s="5">
        <f t="shared" si="24"/>
        <v>70</v>
      </c>
      <c r="CW22" s="4">
        <f t="shared" si="24"/>
        <v>74.500000000000014</v>
      </c>
      <c r="CX22" s="6">
        <f t="shared" si="25"/>
        <v>10.30000000000001</v>
      </c>
      <c r="CY22" s="162">
        <v>340</v>
      </c>
      <c r="CZ22" s="171">
        <f t="shared" si="26"/>
        <v>3502.0000000000032</v>
      </c>
      <c r="DB22" s="2">
        <f t="shared" si="34"/>
        <v>10.30000000000001</v>
      </c>
      <c r="DC22" s="62"/>
      <c r="DD22" s="143"/>
      <c r="DE22" s="149">
        <f t="shared" si="35"/>
        <v>10.30000000000001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14</v>
      </c>
      <c r="G23" s="62">
        <f>-1+30</f>
        <v>29</v>
      </c>
      <c r="H23" s="143">
        <f>1+13</f>
        <v>14</v>
      </c>
      <c r="I23" s="13">
        <f t="shared" si="0"/>
        <v>29</v>
      </c>
      <c r="J23" s="62"/>
      <c r="K23" s="143">
        <v>4</v>
      </c>
      <c r="L23" s="13">
        <f t="shared" si="1"/>
        <v>25</v>
      </c>
      <c r="M23" s="62"/>
      <c r="N23" s="143">
        <f>1</f>
        <v>1</v>
      </c>
      <c r="O23" s="13">
        <f t="shared" si="2"/>
        <v>24</v>
      </c>
      <c r="P23" s="62">
        <v>30</v>
      </c>
      <c r="Q23" s="143">
        <v>12</v>
      </c>
      <c r="R23" s="13">
        <f t="shared" si="3"/>
        <v>42</v>
      </c>
      <c r="S23" s="62"/>
      <c r="T23" s="143">
        <f>10</f>
        <v>10</v>
      </c>
      <c r="U23" s="13">
        <f t="shared" si="4"/>
        <v>32</v>
      </c>
      <c r="V23" s="62">
        <v>30</v>
      </c>
      <c r="W23" s="143">
        <v>16</v>
      </c>
      <c r="X23" s="13">
        <f t="shared" si="5"/>
        <v>46</v>
      </c>
      <c r="Y23" s="62"/>
      <c r="Z23" s="143"/>
      <c r="AA23" s="13">
        <f t="shared" si="27"/>
        <v>46</v>
      </c>
      <c r="AB23" s="62"/>
      <c r="AC23" s="143">
        <f>2+6</f>
        <v>8</v>
      </c>
      <c r="AD23" s="13">
        <f t="shared" si="28"/>
        <v>38</v>
      </c>
      <c r="AE23" s="62">
        <v>30</v>
      </c>
      <c r="AF23" s="143">
        <f>1+20</f>
        <v>21</v>
      </c>
      <c r="AG23" s="13">
        <f t="shared" si="29"/>
        <v>47</v>
      </c>
      <c r="AH23" s="62"/>
      <c r="AI23" s="143"/>
      <c r="AJ23" s="13">
        <f t="shared" si="30"/>
        <v>47</v>
      </c>
      <c r="AK23" s="62"/>
      <c r="AL23" s="143">
        <f>4+1</f>
        <v>5</v>
      </c>
      <c r="AM23" s="13">
        <f t="shared" si="6"/>
        <v>42</v>
      </c>
      <c r="AN23" s="62">
        <v>30</v>
      </c>
      <c r="AO23" s="143">
        <f>24</f>
        <v>24</v>
      </c>
      <c r="AP23" s="13">
        <f t="shared" si="7"/>
        <v>48</v>
      </c>
      <c r="AQ23" s="62"/>
      <c r="AR23" s="143">
        <v>2</v>
      </c>
      <c r="AS23" s="13">
        <f t="shared" si="8"/>
        <v>46</v>
      </c>
      <c r="AT23" s="62"/>
      <c r="AU23" s="143"/>
      <c r="AV23" s="13">
        <f t="shared" si="9"/>
        <v>46</v>
      </c>
      <c r="AW23" s="62"/>
      <c r="AX23" s="143">
        <v>18</v>
      </c>
      <c r="AY23" s="13">
        <f t="shared" si="10"/>
        <v>28</v>
      </c>
      <c r="AZ23" s="62"/>
      <c r="BA23" s="143">
        <v>8</v>
      </c>
      <c r="BB23" s="13">
        <f t="shared" si="11"/>
        <v>20</v>
      </c>
      <c r="BC23" s="62"/>
      <c r="BD23" s="143">
        <f>1</f>
        <v>1</v>
      </c>
      <c r="BE23" s="13">
        <f t="shared" si="12"/>
        <v>19</v>
      </c>
      <c r="BF23" s="62">
        <v>30</v>
      </c>
      <c r="BG23" s="143">
        <v>12</v>
      </c>
      <c r="BH23" s="13">
        <f t="shared" si="13"/>
        <v>37</v>
      </c>
      <c r="BI23" s="62">
        <v>30</v>
      </c>
      <c r="BJ23" s="143">
        <v>24</v>
      </c>
      <c r="BK23" s="13">
        <f t="shared" si="14"/>
        <v>43</v>
      </c>
      <c r="BL23" s="62"/>
      <c r="BM23" s="143">
        <v>14</v>
      </c>
      <c r="BN23" s="13">
        <f t="shared" si="15"/>
        <v>29</v>
      </c>
      <c r="BO23" s="62"/>
      <c r="BP23" s="143"/>
      <c r="BQ23" s="13">
        <f t="shared" si="16"/>
        <v>29</v>
      </c>
      <c r="BR23" s="62">
        <v>30</v>
      </c>
      <c r="BS23" s="143">
        <f>1+2+12</f>
        <v>15</v>
      </c>
      <c r="BT23" s="13">
        <f t="shared" si="17"/>
        <v>44</v>
      </c>
      <c r="BU23" s="62"/>
      <c r="BV23" s="143">
        <f>1+6</f>
        <v>7</v>
      </c>
      <c r="BW23" s="13">
        <f t="shared" si="18"/>
        <v>37</v>
      </c>
      <c r="BX23" s="62"/>
      <c r="BY23" s="143"/>
      <c r="BZ23" s="13">
        <f t="shared" si="19"/>
        <v>37</v>
      </c>
      <c r="CA23" s="62"/>
      <c r="CB23" s="143">
        <v>12</v>
      </c>
      <c r="CC23" s="13">
        <f t="shared" si="20"/>
        <v>25</v>
      </c>
      <c r="CD23" s="62">
        <v>30</v>
      </c>
      <c r="CE23" s="143">
        <v>24</v>
      </c>
      <c r="CF23" s="13">
        <f t="shared" si="21"/>
        <v>31</v>
      </c>
      <c r="CG23" s="62">
        <v>30</v>
      </c>
      <c r="CH23" s="143">
        <v>14</v>
      </c>
      <c r="CI23" s="13">
        <f t="shared" si="31"/>
        <v>47</v>
      </c>
      <c r="CJ23" s="62">
        <v>30</v>
      </c>
      <c r="CK23" s="143"/>
      <c r="CL23" s="13">
        <f t="shared" si="32"/>
        <v>77</v>
      </c>
      <c r="CM23" s="62">
        <v>30</v>
      </c>
      <c r="CN23" s="143">
        <v>22</v>
      </c>
      <c r="CO23" s="13">
        <f t="shared" si="22"/>
        <v>85</v>
      </c>
      <c r="CP23" s="62"/>
      <c r="CQ23" s="143">
        <v>32</v>
      </c>
      <c r="CR23" s="13">
        <f t="shared" si="33"/>
        <v>53</v>
      </c>
      <c r="CS23" s="62"/>
      <c r="CT23" s="143"/>
      <c r="CU23" s="14">
        <f t="shared" si="23"/>
        <v>53</v>
      </c>
      <c r="CV23" s="5">
        <f t="shared" si="24"/>
        <v>359</v>
      </c>
      <c r="CW23" s="4">
        <f t="shared" si="24"/>
        <v>320</v>
      </c>
      <c r="CX23" s="6">
        <f t="shared" si="25"/>
        <v>53</v>
      </c>
      <c r="CY23" s="162">
        <v>180</v>
      </c>
      <c r="CZ23" s="171">
        <f t="shared" si="26"/>
        <v>9540</v>
      </c>
      <c r="DB23" s="2">
        <f t="shared" si="34"/>
        <v>53</v>
      </c>
      <c r="DC23" s="61"/>
      <c r="DD23" s="143"/>
      <c r="DE23" s="149">
        <f t="shared" si="35"/>
        <v>53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4</v>
      </c>
      <c r="G24" s="62"/>
      <c r="H24" s="143"/>
      <c r="I24" s="13">
        <f t="shared" si="0"/>
        <v>4</v>
      </c>
      <c r="J24" s="62">
        <f>-5-5+10</f>
        <v>0</v>
      </c>
      <c r="K24" s="143"/>
      <c r="L24" s="13">
        <f t="shared" si="1"/>
        <v>4</v>
      </c>
      <c r="M24" s="62"/>
      <c r="N24" s="143"/>
      <c r="O24" s="13">
        <f t="shared" si="2"/>
        <v>4</v>
      </c>
      <c r="P24" s="62"/>
      <c r="Q24" s="143"/>
      <c r="R24" s="30">
        <f t="shared" si="3"/>
        <v>4</v>
      </c>
      <c r="S24" s="62"/>
      <c r="T24" s="143"/>
      <c r="U24" s="13">
        <f t="shared" si="4"/>
        <v>4</v>
      </c>
      <c r="V24" s="62"/>
      <c r="W24" s="143"/>
      <c r="X24" s="13">
        <f t="shared" si="5"/>
        <v>4</v>
      </c>
      <c r="Y24" s="62"/>
      <c r="Z24" s="143"/>
      <c r="AA24" s="13">
        <f t="shared" si="27"/>
        <v>4</v>
      </c>
      <c r="AB24" s="62">
        <v>18</v>
      </c>
      <c r="AC24" s="143"/>
      <c r="AD24" s="13">
        <f t="shared" si="28"/>
        <v>22</v>
      </c>
      <c r="AE24" s="62"/>
      <c r="AF24" s="143">
        <f>4+6+6</f>
        <v>16</v>
      </c>
      <c r="AG24" s="13">
        <f t="shared" si="29"/>
        <v>6</v>
      </c>
      <c r="AH24" s="62"/>
      <c r="AI24" s="143"/>
      <c r="AJ24" s="13">
        <f t="shared" si="30"/>
        <v>6</v>
      </c>
      <c r="AK24" s="62"/>
      <c r="AL24" s="143"/>
      <c r="AM24" s="13">
        <f t="shared" si="6"/>
        <v>6</v>
      </c>
      <c r="AN24" s="62"/>
      <c r="AO24" s="143"/>
      <c r="AP24" s="13">
        <f t="shared" si="7"/>
        <v>6</v>
      </c>
      <c r="AQ24" s="62"/>
      <c r="AR24" s="143"/>
      <c r="AS24" s="13">
        <f t="shared" si="8"/>
        <v>6</v>
      </c>
      <c r="AT24" s="62"/>
      <c r="AU24" s="143"/>
      <c r="AV24" s="13">
        <f t="shared" si="9"/>
        <v>6</v>
      </c>
      <c r="AW24" s="62"/>
      <c r="AX24" s="143"/>
      <c r="AY24" s="13">
        <f t="shared" si="10"/>
        <v>6</v>
      </c>
      <c r="AZ24" s="62"/>
      <c r="BA24" s="143"/>
      <c r="BB24" s="13">
        <f t="shared" si="11"/>
        <v>6</v>
      </c>
      <c r="BC24" s="62"/>
      <c r="BD24" s="143"/>
      <c r="BE24" s="13">
        <f t="shared" si="12"/>
        <v>6</v>
      </c>
      <c r="BF24" s="62"/>
      <c r="BG24" s="143"/>
      <c r="BH24" s="13">
        <f t="shared" si="13"/>
        <v>6</v>
      </c>
      <c r="BI24" s="62"/>
      <c r="BJ24" s="143"/>
      <c r="BK24" s="13">
        <f t="shared" si="14"/>
        <v>6</v>
      </c>
      <c r="BL24" s="62"/>
      <c r="BM24" s="143"/>
      <c r="BN24" s="13">
        <f t="shared" si="15"/>
        <v>6</v>
      </c>
      <c r="BO24" s="62"/>
      <c r="BP24" s="143"/>
      <c r="BQ24" s="13">
        <f t="shared" si="16"/>
        <v>6</v>
      </c>
      <c r="BR24" s="62"/>
      <c r="BS24" s="143"/>
      <c r="BT24" s="13">
        <f t="shared" si="17"/>
        <v>6</v>
      </c>
      <c r="BU24" s="62"/>
      <c r="BV24" s="143"/>
      <c r="BW24" s="13">
        <f t="shared" si="18"/>
        <v>6</v>
      </c>
      <c r="BX24" s="62"/>
      <c r="BY24" s="143"/>
      <c r="BZ24" s="13">
        <f t="shared" si="19"/>
        <v>6</v>
      </c>
      <c r="CA24" s="62"/>
      <c r="CB24" s="143"/>
      <c r="CC24" s="13">
        <f t="shared" si="20"/>
        <v>6</v>
      </c>
      <c r="CD24" s="62"/>
      <c r="CE24" s="143"/>
      <c r="CF24" s="13">
        <f t="shared" si="21"/>
        <v>6</v>
      </c>
      <c r="CG24" s="62"/>
      <c r="CH24" s="143"/>
      <c r="CI24" s="13">
        <f t="shared" si="31"/>
        <v>6</v>
      </c>
      <c r="CJ24" s="62"/>
      <c r="CK24" s="143"/>
      <c r="CL24" s="13">
        <f t="shared" si="32"/>
        <v>6</v>
      </c>
      <c r="CM24" s="62"/>
      <c r="CN24" s="143"/>
      <c r="CO24" s="13">
        <f t="shared" si="22"/>
        <v>6</v>
      </c>
      <c r="CP24" s="62"/>
      <c r="CQ24" s="143"/>
      <c r="CR24" s="13">
        <f t="shared" si="33"/>
        <v>6</v>
      </c>
      <c r="CS24" s="62"/>
      <c r="CT24" s="143"/>
      <c r="CU24" s="14">
        <f t="shared" si="23"/>
        <v>6</v>
      </c>
      <c r="CV24" s="5">
        <f t="shared" si="24"/>
        <v>18</v>
      </c>
      <c r="CW24" s="4">
        <f t="shared" si="24"/>
        <v>16</v>
      </c>
      <c r="CX24" s="6">
        <f t="shared" si="25"/>
        <v>6</v>
      </c>
      <c r="CY24" s="162">
        <v>67</v>
      </c>
      <c r="CZ24" s="171">
        <f t="shared" si="26"/>
        <v>402</v>
      </c>
      <c r="DB24" s="2">
        <f t="shared" si="34"/>
        <v>6</v>
      </c>
      <c r="DC24" s="61"/>
      <c r="DD24" s="143"/>
      <c r="DE24" s="149">
        <f t="shared" si="35"/>
        <v>6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11.5</v>
      </c>
      <c r="G25" s="62">
        <v>8</v>
      </c>
      <c r="H25" s="143">
        <f>3+2.5+1</f>
        <v>6.5</v>
      </c>
      <c r="I25" s="13">
        <f t="shared" si="0"/>
        <v>13</v>
      </c>
      <c r="J25" s="62"/>
      <c r="K25" s="143">
        <f>2</f>
        <v>2</v>
      </c>
      <c r="L25" s="13">
        <f t="shared" si="1"/>
        <v>11</v>
      </c>
      <c r="M25" s="62"/>
      <c r="N25" s="143">
        <f>1+1</f>
        <v>2</v>
      </c>
      <c r="O25" s="13">
        <f t="shared" si="2"/>
        <v>9</v>
      </c>
      <c r="P25" s="62"/>
      <c r="Q25" s="143">
        <f>2+1+1</f>
        <v>4</v>
      </c>
      <c r="R25" s="30">
        <f t="shared" si="3"/>
        <v>5</v>
      </c>
      <c r="S25" s="62">
        <v>10</v>
      </c>
      <c r="T25" s="143">
        <f>0.5</f>
        <v>0.5</v>
      </c>
      <c r="U25" s="13">
        <f t="shared" si="4"/>
        <v>14.5</v>
      </c>
      <c r="V25" s="62"/>
      <c r="W25" s="143">
        <f>1</f>
        <v>1</v>
      </c>
      <c r="X25" s="13">
        <f t="shared" si="5"/>
        <v>13.5</v>
      </c>
      <c r="Y25" s="62"/>
      <c r="Z25" s="143"/>
      <c r="AA25" s="13">
        <f t="shared" si="27"/>
        <v>13.5</v>
      </c>
      <c r="AB25" s="62"/>
      <c r="AC25" s="143">
        <f>2+1</f>
        <v>3</v>
      </c>
      <c r="AD25" s="13">
        <f t="shared" si="28"/>
        <v>10.5</v>
      </c>
      <c r="AE25" s="62">
        <v>8</v>
      </c>
      <c r="AF25" s="143">
        <f>2+0.5</f>
        <v>2.5</v>
      </c>
      <c r="AG25" s="13">
        <f t="shared" si="29"/>
        <v>16</v>
      </c>
      <c r="AH25" s="62"/>
      <c r="AI25" s="143">
        <f>1+1+1.5+2+1</f>
        <v>6.5</v>
      </c>
      <c r="AJ25" s="13">
        <f t="shared" si="30"/>
        <v>9.5</v>
      </c>
      <c r="AK25" s="62"/>
      <c r="AL25" s="143">
        <f>1.5+0.5+0.5+1</f>
        <v>3.5</v>
      </c>
      <c r="AM25" s="13">
        <f t="shared" si="6"/>
        <v>6</v>
      </c>
      <c r="AN25" s="62">
        <v>8</v>
      </c>
      <c r="AO25" s="143">
        <f>2+2+1</f>
        <v>5</v>
      </c>
      <c r="AP25" s="13">
        <f t="shared" si="7"/>
        <v>9</v>
      </c>
      <c r="AQ25" s="62"/>
      <c r="AR25" s="143"/>
      <c r="AS25" s="13">
        <f t="shared" si="8"/>
        <v>9</v>
      </c>
      <c r="AT25" s="62"/>
      <c r="AU25" s="143"/>
      <c r="AV25" s="13">
        <f t="shared" si="9"/>
        <v>9</v>
      </c>
      <c r="AW25" s="62"/>
      <c r="AX25" s="143">
        <f>1+2</f>
        <v>3</v>
      </c>
      <c r="AY25" s="13">
        <f t="shared" si="10"/>
        <v>6</v>
      </c>
      <c r="AZ25" s="62">
        <v>8</v>
      </c>
      <c r="BA25" s="143">
        <f>3</f>
        <v>3</v>
      </c>
      <c r="BB25" s="13">
        <f t="shared" si="11"/>
        <v>11</v>
      </c>
      <c r="BC25" s="62"/>
      <c r="BD25" s="143">
        <f>1+1+1+1</f>
        <v>4</v>
      </c>
      <c r="BE25" s="13">
        <f t="shared" si="12"/>
        <v>7</v>
      </c>
      <c r="BF25" s="62">
        <v>8</v>
      </c>
      <c r="BG25" s="143">
        <f>1+2+1.5</f>
        <v>4.5</v>
      </c>
      <c r="BH25" s="13">
        <f t="shared" si="13"/>
        <v>10.5</v>
      </c>
      <c r="BI25" s="62"/>
      <c r="BJ25" s="143">
        <f>2+0.5+1+0.5</f>
        <v>4</v>
      </c>
      <c r="BK25" s="13">
        <f t="shared" si="14"/>
        <v>6.5</v>
      </c>
      <c r="BL25" s="62"/>
      <c r="BM25" s="143"/>
      <c r="BN25" s="13">
        <f t="shared" si="15"/>
        <v>6.5</v>
      </c>
      <c r="BO25" s="62"/>
      <c r="BP25" s="143"/>
      <c r="BQ25" s="13">
        <f t="shared" si="16"/>
        <v>6.5</v>
      </c>
      <c r="BR25" s="62"/>
      <c r="BS25" s="143">
        <f>1</f>
        <v>1</v>
      </c>
      <c r="BT25" s="13">
        <f t="shared" si="17"/>
        <v>5.5</v>
      </c>
      <c r="BU25" s="62">
        <v>10</v>
      </c>
      <c r="BV25" s="143">
        <f>0.5+3+1</f>
        <v>4.5</v>
      </c>
      <c r="BW25" s="13">
        <f t="shared" si="18"/>
        <v>11</v>
      </c>
      <c r="BX25" s="62"/>
      <c r="BY25" s="143"/>
      <c r="BZ25" s="13">
        <f t="shared" si="19"/>
        <v>11</v>
      </c>
      <c r="CA25" s="62"/>
      <c r="CB25" s="143">
        <f>1+1</f>
        <v>2</v>
      </c>
      <c r="CC25" s="13">
        <f t="shared" si="20"/>
        <v>9</v>
      </c>
      <c r="CD25" s="62">
        <f>-1+10</f>
        <v>9</v>
      </c>
      <c r="CE25" s="143">
        <f>2+2+5</f>
        <v>9</v>
      </c>
      <c r="CF25" s="13">
        <f t="shared" si="21"/>
        <v>9</v>
      </c>
      <c r="CG25" s="62"/>
      <c r="CH25" s="143"/>
      <c r="CI25" s="13">
        <f t="shared" si="31"/>
        <v>9</v>
      </c>
      <c r="CJ25" s="62">
        <v>10</v>
      </c>
      <c r="CK25" s="143"/>
      <c r="CL25" s="13">
        <f t="shared" si="32"/>
        <v>19</v>
      </c>
      <c r="CM25" s="62"/>
      <c r="CN25" s="143">
        <f>2+0.5</f>
        <v>2.5</v>
      </c>
      <c r="CO25" s="13">
        <f t="shared" si="22"/>
        <v>16.5</v>
      </c>
      <c r="CP25" s="62"/>
      <c r="CQ25" s="143">
        <v>2</v>
      </c>
      <c r="CR25" s="13">
        <f t="shared" si="33"/>
        <v>14.5</v>
      </c>
      <c r="CS25" s="62"/>
      <c r="CT25" s="143"/>
      <c r="CU25" s="14">
        <f t="shared" si="23"/>
        <v>14.5</v>
      </c>
      <c r="CV25" s="5">
        <f t="shared" si="24"/>
        <v>79</v>
      </c>
      <c r="CW25" s="4">
        <f t="shared" si="24"/>
        <v>76</v>
      </c>
      <c r="CX25" s="6">
        <f t="shared" si="25"/>
        <v>14.5</v>
      </c>
      <c r="CY25" s="162">
        <v>175</v>
      </c>
      <c r="CZ25" s="171">
        <f t="shared" si="26"/>
        <v>2537.5</v>
      </c>
      <c r="DB25" s="2">
        <f t="shared" si="34"/>
        <v>14.5</v>
      </c>
      <c r="DC25" s="61"/>
      <c r="DD25" s="143"/>
      <c r="DE25" s="149">
        <f t="shared" si="35"/>
        <v>14.5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9</v>
      </c>
      <c r="G26" s="62">
        <v>15</v>
      </c>
      <c r="H26" s="143">
        <v>6</v>
      </c>
      <c r="I26" s="13">
        <f t="shared" si="0"/>
        <v>18</v>
      </c>
      <c r="J26" s="62"/>
      <c r="K26" s="143">
        <v>7</v>
      </c>
      <c r="L26" s="13">
        <f t="shared" si="1"/>
        <v>11</v>
      </c>
      <c r="M26" s="62"/>
      <c r="N26" s="143"/>
      <c r="O26" s="13">
        <f t="shared" si="2"/>
        <v>11</v>
      </c>
      <c r="P26" s="62"/>
      <c r="Q26" s="143">
        <v>3</v>
      </c>
      <c r="R26" s="30">
        <f t="shared" si="3"/>
        <v>8</v>
      </c>
      <c r="S26" s="62">
        <v>15</v>
      </c>
      <c r="T26" s="143">
        <v>5</v>
      </c>
      <c r="U26" s="13">
        <f t="shared" si="4"/>
        <v>18</v>
      </c>
      <c r="V26" s="62"/>
      <c r="W26" s="143">
        <v>6</v>
      </c>
      <c r="X26" s="13">
        <f t="shared" si="5"/>
        <v>12</v>
      </c>
      <c r="Y26" s="62"/>
      <c r="Z26" s="143"/>
      <c r="AA26" s="13">
        <f t="shared" si="27"/>
        <v>12</v>
      </c>
      <c r="AB26" s="62">
        <v>12</v>
      </c>
      <c r="AC26" s="143">
        <v>3</v>
      </c>
      <c r="AD26" s="13">
        <f t="shared" si="28"/>
        <v>21</v>
      </c>
      <c r="AE26" s="62"/>
      <c r="AF26" s="143">
        <v>8</v>
      </c>
      <c r="AG26" s="13">
        <f t="shared" si="29"/>
        <v>13</v>
      </c>
      <c r="AH26" s="62"/>
      <c r="AI26" s="143"/>
      <c r="AJ26" s="13">
        <f t="shared" si="30"/>
        <v>13</v>
      </c>
      <c r="AK26" s="62"/>
      <c r="AL26" s="143">
        <v>5</v>
      </c>
      <c r="AM26" s="13">
        <f t="shared" si="6"/>
        <v>8</v>
      </c>
      <c r="AN26" s="62">
        <v>12</v>
      </c>
      <c r="AO26" s="143">
        <v>3</v>
      </c>
      <c r="AP26" s="13">
        <f t="shared" si="7"/>
        <v>17</v>
      </c>
      <c r="AQ26" s="62"/>
      <c r="AR26" s="143">
        <v>4</v>
      </c>
      <c r="AS26" s="13">
        <f t="shared" si="8"/>
        <v>13</v>
      </c>
      <c r="AT26" s="62"/>
      <c r="AU26" s="143"/>
      <c r="AV26" s="13">
        <f t="shared" si="9"/>
        <v>13</v>
      </c>
      <c r="AW26" s="62">
        <v>10</v>
      </c>
      <c r="AX26" s="143">
        <v>5</v>
      </c>
      <c r="AY26" s="13">
        <f t="shared" si="10"/>
        <v>18</v>
      </c>
      <c r="AZ26" s="62"/>
      <c r="BA26" s="143">
        <v>8</v>
      </c>
      <c r="BB26" s="13">
        <f t="shared" si="11"/>
        <v>10</v>
      </c>
      <c r="BC26" s="62"/>
      <c r="BD26" s="143"/>
      <c r="BE26" s="13">
        <f t="shared" si="12"/>
        <v>10</v>
      </c>
      <c r="BF26" s="62"/>
      <c r="BG26" s="143">
        <v>5</v>
      </c>
      <c r="BH26" s="13">
        <f t="shared" si="13"/>
        <v>5</v>
      </c>
      <c r="BI26" s="62">
        <v>20</v>
      </c>
      <c r="BJ26" s="143">
        <v>6</v>
      </c>
      <c r="BK26" s="13">
        <f t="shared" si="14"/>
        <v>19</v>
      </c>
      <c r="BL26" s="62"/>
      <c r="BM26" s="143">
        <v>8</v>
      </c>
      <c r="BN26" s="13">
        <f t="shared" si="15"/>
        <v>11</v>
      </c>
      <c r="BO26" s="62"/>
      <c r="BP26" s="143"/>
      <c r="BQ26" s="13">
        <f t="shared" si="16"/>
        <v>11</v>
      </c>
      <c r="BR26" s="62">
        <v>15</v>
      </c>
      <c r="BS26" s="143">
        <v>5</v>
      </c>
      <c r="BT26" s="13">
        <f t="shared" si="17"/>
        <v>21</v>
      </c>
      <c r="BU26" s="62"/>
      <c r="BV26" s="143">
        <v>6</v>
      </c>
      <c r="BW26" s="13">
        <f t="shared" si="18"/>
        <v>15</v>
      </c>
      <c r="BX26" s="62"/>
      <c r="BY26" s="143"/>
      <c r="BZ26" s="13">
        <f t="shared" si="19"/>
        <v>15</v>
      </c>
      <c r="CA26" s="62"/>
      <c r="CB26" s="143">
        <v>4</v>
      </c>
      <c r="CC26" s="13">
        <f t="shared" si="20"/>
        <v>11</v>
      </c>
      <c r="CD26" s="62">
        <v>25</v>
      </c>
      <c r="CE26" s="143">
        <v>9</v>
      </c>
      <c r="CF26" s="13">
        <f t="shared" si="21"/>
        <v>27</v>
      </c>
      <c r="CG26" s="62"/>
      <c r="CH26" s="143">
        <v>8</v>
      </c>
      <c r="CI26" s="13">
        <f t="shared" si="31"/>
        <v>19</v>
      </c>
      <c r="CJ26" s="62"/>
      <c r="CK26" s="143"/>
      <c r="CL26" s="13">
        <f t="shared" si="32"/>
        <v>19</v>
      </c>
      <c r="CM26" s="62">
        <v>25</v>
      </c>
      <c r="CN26" s="143">
        <v>7</v>
      </c>
      <c r="CO26" s="13">
        <f t="shared" si="22"/>
        <v>37</v>
      </c>
      <c r="CP26" s="62"/>
      <c r="CQ26" s="143">
        <v>14</v>
      </c>
      <c r="CR26" s="13">
        <f t="shared" si="33"/>
        <v>23</v>
      </c>
      <c r="CS26" s="62"/>
      <c r="CT26" s="143"/>
      <c r="CU26" s="14">
        <f t="shared" si="23"/>
        <v>23</v>
      </c>
      <c r="CV26" s="5">
        <f t="shared" si="24"/>
        <v>149</v>
      </c>
      <c r="CW26" s="4">
        <f t="shared" si="24"/>
        <v>135</v>
      </c>
      <c r="CX26" s="6">
        <f t="shared" si="25"/>
        <v>23</v>
      </c>
      <c r="CY26" s="162">
        <v>3950</v>
      </c>
      <c r="CZ26" s="171">
        <f t="shared" si="26"/>
        <v>90850</v>
      </c>
      <c r="DB26" s="2">
        <f t="shared" si="34"/>
        <v>23</v>
      </c>
      <c r="DC26" s="61"/>
      <c r="DD26" s="143"/>
      <c r="DE26" s="149">
        <f t="shared" si="35"/>
        <v>23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40</v>
      </c>
      <c r="E27" s="34" t="s">
        <v>68</v>
      </c>
      <c r="F27" s="14">
        <v>38.599999999999945</v>
      </c>
      <c r="G27" s="62">
        <v>40</v>
      </c>
      <c r="H27" s="143">
        <f>1+1.1+1.3+2.1+1.4+1+1+1.4+1.5+4</f>
        <v>15.8</v>
      </c>
      <c r="I27" s="13">
        <f t="shared" si="0"/>
        <v>62.79999999999994</v>
      </c>
      <c r="J27" s="62">
        <v>40</v>
      </c>
      <c r="K27" s="143">
        <f>10.1+2.4+2+0.2+3.2+1+3.2+1.6+2.2+10+0.4</f>
        <v>36.299999999999997</v>
      </c>
      <c r="L27" s="13">
        <f t="shared" si="1"/>
        <v>66.499999999999943</v>
      </c>
      <c r="M27" s="62"/>
      <c r="N27" s="143">
        <f>1.4+0.6+1.3+0.8+1.9+0.3</f>
        <v>6.3</v>
      </c>
      <c r="O27" s="13">
        <f t="shared" si="2"/>
        <v>60.199999999999946</v>
      </c>
      <c r="P27" s="62">
        <v>20</v>
      </c>
      <c r="Q27" s="143">
        <f>1.6+1+1.7+1.2+0.8+0.8+6.3+10</f>
        <v>23.4</v>
      </c>
      <c r="R27" s="30">
        <f t="shared" si="3"/>
        <v>56.799999999999947</v>
      </c>
      <c r="S27" s="62"/>
      <c r="T27" s="143">
        <f>10+0.3+0.2+0.2+0.2+0.2+0.2</f>
        <v>11.299999999999997</v>
      </c>
      <c r="U27" s="13">
        <f t="shared" si="4"/>
        <v>45.49999999999995</v>
      </c>
      <c r="V27" s="62"/>
      <c r="W27" s="143">
        <f>0.7+1.2</f>
        <v>1.9</v>
      </c>
      <c r="X27" s="13">
        <f t="shared" si="5"/>
        <v>43.599999999999952</v>
      </c>
      <c r="Y27" s="62"/>
      <c r="Z27" s="143"/>
      <c r="AA27" s="13">
        <f t="shared" si="27"/>
        <v>43.599999999999952</v>
      </c>
      <c r="AB27" s="62">
        <v>40</v>
      </c>
      <c r="AC27" s="143">
        <f>1+1.4+1.1+1.9+0.9+1.5+1.1+2.2</f>
        <v>11.100000000000001</v>
      </c>
      <c r="AD27" s="13">
        <f t="shared" si="28"/>
        <v>72.499999999999943</v>
      </c>
      <c r="AE27" s="62"/>
      <c r="AF27" s="143">
        <f>10+0.7+0.9+0.3+0.9+1.3+0.8+1.1+3+0.2</f>
        <v>19.200000000000003</v>
      </c>
      <c r="AG27" s="13">
        <f t="shared" si="29"/>
        <v>53.29999999999994</v>
      </c>
      <c r="AH27" s="62"/>
      <c r="AI27" s="143">
        <f>1.7+1.8+0.8+0.6+1.4+1.3</f>
        <v>7.5999999999999988</v>
      </c>
      <c r="AJ27" s="13">
        <f t="shared" si="30"/>
        <v>45.699999999999939</v>
      </c>
      <c r="AK27" s="62">
        <v>40</v>
      </c>
      <c r="AL27" s="143">
        <f>2.6+1.4+0.7+1.1+1.8+1.1+1.9</f>
        <v>10.600000000000001</v>
      </c>
      <c r="AM27" s="13">
        <f t="shared" si="6"/>
        <v>75.099999999999937</v>
      </c>
      <c r="AN27" s="62"/>
      <c r="AO27" s="143">
        <f>10+0.4+0.1+0.5+0.5+0.1+0.4+0.2</f>
        <v>12.2</v>
      </c>
      <c r="AP27" s="13">
        <f t="shared" si="7"/>
        <v>62.899999999999935</v>
      </c>
      <c r="AQ27" s="62"/>
      <c r="AR27" s="143">
        <f>0.8+10</f>
        <v>10.8</v>
      </c>
      <c r="AS27" s="13">
        <f t="shared" si="8"/>
        <v>52.099999999999937</v>
      </c>
      <c r="AT27" s="62"/>
      <c r="AU27" s="143"/>
      <c r="AV27" s="13">
        <f t="shared" si="9"/>
        <v>52.099999999999937</v>
      </c>
      <c r="AW27" s="62">
        <v>20</v>
      </c>
      <c r="AX27" s="143">
        <f>1.9+1.4+0.9+1+0.8+1.2+1.2+1.1+4+2.3</f>
        <v>15.8</v>
      </c>
      <c r="AY27" s="13">
        <f t="shared" si="10"/>
        <v>56.29999999999994</v>
      </c>
      <c r="AZ27" s="62">
        <v>40</v>
      </c>
      <c r="BA27" s="143">
        <f>0.5+2+1.8+0.8+0.9+1.9+2.2</f>
        <v>10.100000000000001</v>
      </c>
      <c r="BB27" s="13">
        <f t="shared" si="11"/>
        <v>86.199999999999932</v>
      </c>
      <c r="BC27" s="62"/>
      <c r="BD27" s="143">
        <f>1.2+1.3+1.2+1.1+0.3</f>
        <v>5.1000000000000005</v>
      </c>
      <c r="BE27" s="13">
        <f t="shared" si="12"/>
        <v>81.099999999999937</v>
      </c>
      <c r="BF27" s="62"/>
      <c r="BG27" s="143">
        <f>1.6+1.8+2.1+2.8+1.9+6.3+10</f>
        <v>26.5</v>
      </c>
      <c r="BH27" s="13">
        <f t="shared" si="13"/>
        <v>54.599999999999937</v>
      </c>
      <c r="BI27" s="62"/>
      <c r="BJ27" s="143">
        <f>10+0.3+0.1+0.2</f>
        <v>10.6</v>
      </c>
      <c r="BK27" s="13">
        <f t="shared" si="14"/>
        <v>43.999999999999936</v>
      </c>
      <c r="BL27" s="62"/>
      <c r="BM27" s="143"/>
      <c r="BN27" s="13">
        <f t="shared" si="15"/>
        <v>43.999999999999936</v>
      </c>
      <c r="BO27" s="62"/>
      <c r="BP27" s="143"/>
      <c r="BQ27" s="13">
        <f t="shared" si="16"/>
        <v>43.999999999999936</v>
      </c>
      <c r="BR27" s="62">
        <v>40</v>
      </c>
      <c r="BS27" s="143">
        <f>1.9+1.6+1.7+1.6+0.8+1.2+0.8+2.2</f>
        <v>11.8</v>
      </c>
      <c r="BT27" s="13">
        <f t="shared" si="17"/>
        <v>72.199999999999946</v>
      </c>
      <c r="BU27" s="62">
        <v>40</v>
      </c>
      <c r="BV27" s="143">
        <f>0.2+10+0.8+0.9+0.4+0.8+1+0.8+1.8+4.8</f>
        <v>21.500000000000004</v>
      </c>
      <c r="BW27" s="13">
        <f t="shared" si="18"/>
        <v>90.699999999999946</v>
      </c>
      <c r="BX27" s="62"/>
      <c r="BY27" s="143">
        <f>2.6+1.4+1.8+2.8+1.6+3.2+1.9</f>
        <v>15.299999999999999</v>
      </c>
      <c r="BZ27" s="13">
        <f t="shared" si="19"/>
        <v>75.399999999999949</v>
      </c>
      <c r="CA27" s="62"/>
      <c r="CB27" s="143">
        <f>2.6+1.5+0.7+0.6+1.5</f>
        <v>6.8999999999999995</v>
      </c>
      <c r="CC27" s="13">
        <f t="shared" si="20"/>
        <v>68.499999999999943</v>
      </c>
      <c r="CD27" s="62"/>
      <c r="CE27" s="143">
        <f>10+0.4+0.2+0.5+0.1+0.5+6</f>
        <v>17.7</v>
      </c>
      <c r="CF27" s="13">
        <f t="shared" si="21"/>
        <v>50.79999999999994</v>
      </c>
      <c r="CG27" s="62"/>
      <c r="CH27" s="143"/>
      <c r="CI27" s="13">
        <f t="shared" si="31"/>
        <v>50.79999999999994</v>
      </c>
      <c r="CJ27" s="62"/>
      <c r="CK27" s="143"/>
      <c r="CL27" s="13">
        <f t="shared" si="32"/>
        <v>50.79999999999994</v>
      </c>
      <c r="CM27" s="62"/>
      <c r="CN27" s="143">
        <f>0.5+6.3+0.8</f>
        <v>7.6</v>
      </c>
      <c r="CO27" s="13">
        <f t="shared" si="22"/>
        <v>43.199999999999939</v>
      </c>
      <c r="CP27" s="62"/>
      <c r="CQ27" s="143">
        <v>4.4000000000000004</v>
      </c>
      <c r="CR27" s="13">
        <f t="shared" si="33"/>
        <v>38.79999999999994</v>
      </c>
      <c r="CS27" s="62"/>
      <c r="CT27" s="143"/>
      <c r="CU27" s="14">
        <f t="shared" si="23"/>
        <v>38.79999999999994</v>
      </c>
      <c r="CV27" s="5">
        <f t="shared" si="24"/>
        <v>320</v>
      </c>
      <c r="CW27" s="4">
        <f t="shared" si="24"/>
        <v>319.8</v>
      </c>
      <c r="CX27" s="6">
        <f t="shared" si="25"/>
        <v>38.79999999999994</v>
      </c>
      <c r="CY27" s="162">
        <v>275</v>
      </c>
      <c r="CZ27" s="171">
        <f t="shared" si="26"/>
        <v>10669.999999999984</v>
      </c>
      <c r="DB27" s="2">
        <f t="shared" si="34"/>
        <v>38.79999999999994</v>
      </c>
      <c r="DC27" s="61"/>
      <c r="DD27" s="143"/>
      <c r="DE27" s="149">
        <f t="shared" si="35"/>
        <v>38.79999999999994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9.0999999999999979</v>
      </c>
      <c r="G28" s="62">
        <v>20</v>
      </c>
      <c r="H28" s="143">
        <f>2+1</f>
        <v>3</v>
      </c>
      <c r="I28" s="13">
        <f t="shared" si="0"/>
        <v>26.099999999999998</v>
      </c>
      <c r="J28" s="62"/>
      <c r="K28" s="143">
        <v>1</v>
      </c>
      <c r="L28" s="13">
        <f t="shared" si="1"/>
        <v>25.099999999999998</v>
      </c>
      <c r="M28" s="62"/>
      <c r="N28" s="143"/>
      <c r="O28" s="13">
        <f t="shared" si="2"/>
        <v>25.099999999999998</v>
      </c>
      <c r="P28" s="62"/>
      <c r="Q28" s="143"/>
      <c r="R28" s="30">
        <f t="shared" si="3"/>
        <v>25.099999999999998</v>
      </c>
      <c r="S28" s="62"/>
      <c r="T28" s="143"/>
      <c r="U28" s="13">
        <f t="shared" si="4"/>
        <v>25.099999999999998</v>
      </c>
      <c r="V28" s="62"/>
      <c r="W28" s="143"/>
      <c r="X28" s="13">
        <f t="shared" si="5"/>
        <v>25.099999999999998</v>
      </c>
      <c r="Y28" s="62"/>
      <c r="Z28" s="143"/>
      <c r="AA28" s="13">
        <f t="shared" si="27"/>
        <v>25.099999999999998</v>
      </c>
      <c r="AB28" s="62"/>
      <c r="AC28" s="143"/>
      <c r="AD28" s="13">
        <f t="shared" si="28"/>
        <v>25.099999999999998</v>
      </c>
      <c r="AE28" s="62"/>
      <c r="AF28" s="143"/>
      <c r="AG28" s="13">
        <f t="shared" si="29"/>
        <v>25.099999999999998</v>
      </c>
      <c r="AH28" s="62"/>
      <c r="AI28" s="143"/>
      <c r="AJ28" s="13">
        <f t="shared" si="30"/>
        <v>25.099999999999998</v>
      </c>
      <c r="AK28" s="62"/>
      <c r="AL28" s="143">
        <v>1</v>
      </c>
      <c r="AM28" s="13">
        <f t="shared" si="6"/>
        <v>24.099999999999998</v>
      </c>
      <c r="AN28" s="62"/>
      <c r="AO28" s="143">
        <v>4</v>
      </c>
      <c r="AP28" s="13">
        <f t="shared" si="7"/>
        <v>20.099999999999998</v>
      </c>
      <c r="AQ28" s="62"/>
      <c r="AR28" s="143">
        <v>1</v>
      </c>
      <c r="AS28" s="13">
        <f t="shared" si="8"/>
        <v>19.099999999999998</v>
      </c>
      <c r="AT28" s="62"/>
      <c r="AU28" s="143"/>
      <c r="AV28" s="13">
        <f t="shared" si="9"/>
        <v>19.099999999999998</v>
      </c>
      <c r="AW28" s="62"/>
      <c r="AX28" s="143">
        <v>1</v>
      </c>
      <c r="AY28" s="13">
        <f t="shared" si="10"/>
        <v>18.099999999999998</v>
      </c>
      <c r="AZ28" s="62"/>
      <c r="BA28" s="143">
        <v>1</v>
      </c>
      <c r="BB28" s="13">
        <f t="shared" si="11"/>
        <v>17.099999999999998</v>
      </c>
      <c r="BC28" s="62"/>
      <c r="BD28" s="143"/>
      <c r="BE28" s="13">
        <f t="shared" si="12"/>
        <v>17.099999999999998</v>
      </c>
      <c r="BF28" s="62"/>
      <c r="BG28" s="143">
        <f>1+1.2</f>
        <v>2.2000000000000002</v>
      </c>
      <c r="BH28" s="13">
        <f t="shared" si="13"/>
        <v>14.899999999999999</v>
      </c>
      <c r="BI28" s="62"/>
      <c r="BJ28" s="143"/>
      <c r="BK28" s="13">
        <f t="shared" si="14"/>
        <v>14.899999999999999</v>
      </c>
      <c r="BL28" s="62"/>
      <c r="BM28" s="143"/>
      <c r="BN28" s="13">
        <f t="shared" si="15"/>
        <v>14.899999999999999</v>
      </c>
      <c r="BO28" s="62"/>
      <c r="BP28" s="143"/>
      <c r="BQ28" s="13">
        <f t="shared" si="16"/>
        <v>14.899999999999999</v>
      </c>
      <c r="BR28" s="64"/>
      <c r="BS28" s="143">
        <v>1.2</v>
      </c>
      <c r="BT28" s="13">
        <f t="shared" si="17"/>
        <v>13.7</v>
      </c>
      <c r="BU28" s="62"/>
      <c r="BV28" s="143">
        <v>1.2</v>
      </c>
      <c r="BW28" s="13">
        <f t="shared" si="18"/>
        <v>12.5</v>
      </c>
      <c r="BX28" s="64"/>
      <c r="BY28" s="143"/>
      <c r="BZ28" s="13">
        <f t="shared" si="19"/>
        <v>12.5</v>
      </c>
      <c r="CA28" s="62"/>
      <c r="CB28" s="143"/>
      <c r="CC28" s="13">
        <f t="shared" si="20"/>
        <v>12.5</v>
      </c>
      <c r="CD28" s="62"/>
      <c r="CE28" s="143">
        <v>1.2</v>
      </c>
      <c r="CF28" s="13">
        <f t="shared" si="21"/>
        <v>11.3</v>
      </c>
      <c r="CG28" s="62"/>
      <c r="CH28" s="143">
        <v>1.2</v>
      </c>
      <c r="CI28" s="13">
        <f t="shared" si="31"/>
        <v>10.100000000000001</v>
      </c>
      <c r="CJ28" s="62"/>
      <c r="CK28" s="143"/>
      <c r="CL28" s="13">
        <f t="shared" si="32"/>
        <v>10.100000000000001</v>
      </c>
      <c r="CM28" s="62"/>
      <c r="CN28" s="143">
        <v>1.2</v>
      </c>
      <c r="CO28" s="13">
        <f t="shared" si="22"/>
        <v>8.9000000000000021</v>
      </c>
      <c r="CP28" s="62"/>
      <c r="CQ28" s="143">
        <v>1</v>
      </c>
      <c r="CR28" s="13">
        <f t="shared" si="33"/>
        <v>7.9000000000000021</v>
      </c>
      <c r="CS28" s="62"/>
      <c r="CT28" s="143"/>
      <c r="CU28" s="14">
        <f t="shared" si="23"/>
        <v>7.9000000000000021</v>
      </c>
      <c r="CV28" s="5">
        <f t="shared" si="24"/>
        <v>20</v>
      </c>
      <c r="CW28" s="4">
        <f t="shared" si="24"/>
        <v>21.199999999999996</v>
      </c>
      <c r="CX28" s="6">
        <f t="shared" si="25"/>
        <v>7.9000000000000021</v>
      </c>
      <c r="CY28" s="162">
        <v>94</v>
      </c>
      <c r="CZ28" s="171">
        <f t="shared" si="26"/>
        <v>742.60000000000025</v>
      </c>
      <c r="DB28" s="2">
        <f t="shared" si="34"/>
        <v>7.9000000000000021</v>
      </c>
      <c r="DC28" s="61"/>
      <c r="DD28" s="143"/>
      <c r="DE28" s="149">
        <f t="shared" si="35"/>
        <v>7.9000000000000021</v>
      </c>
    </row>
    <row r="29" spans="1:109" ht="15.75" customHeight="1">
      <c r="A29" s="33"/>
      <c r="B29" s="7" t="s">
        <v>70</v>
      </c>
      <c r="C29" s="105" t="s">
        <v>30</v>
      </c>
      <c r="D29" s="35" t="s">
        <v>315</v>
      </c>
      <c r="E29" s="35" t="s">
        <v>71</v>
      </c>
      <c r="F29" s="14">
        <v>50</v>
      </c>
      <c r="G29" s="62">
        <f>-90+80+60+30</f>
        <v>80</v>
      </c>
      <c r="H29" s="143">
        <f>9+6+7+28</f>
        <v>50</v>
      </c>
      <c r="I29" s="13">
        <f t="shared" si="0"/>
        <v>80</v>
      </c>
      <c r="J29" s="62">
        <f>-57+50+70+30</f>
        <v>93</v>
      </c>
      <c r="K29" s="143">
        <f>12+3+65</f>
        <v>80</v>
      </c>
      <c r="L29" s="13">
        <f t="shared" si="1"/>
        <v>93</v>
      </c>
      <c r="M29" s="62"/>
      <c r="N29" s="143">
        <f>3</f>
        <v>3</v>
      </c>
      <c r="O29" s="13">
        <f t="shared" si="2"/>
        <v>90</v>
      </c>
      <c r="P29" s="62">
        <f>-30+90+30</f>
        <v>90</v>
      </c>
      <c r="Q29" s="143">
        <f>4+4+8+7+67</f>
        <v>90</v>
      </c>
      <c r="R29" s="30">
        <f t="shared" si="3"/>
        <v>90</v>
      </c>
      <c r="S29" s="62">
        <f>80+30</f>
        <v>110</v>
      </c>
      <c r="T29" s="143">
        <f>6+9+1+65</f>
        <v>81</v>
      </c>
      <c r="U29" s="13">
        <f t="shared" si="4"/>
        <v>119</v>
      </c>
      <c r="V29" s="62">
        <f>-35+50+50+30</f>
        <v>95</v>
      </c>
      <c r="W29" s="143">
        <f>14+9+96</f>
        <v>119</v>
      </c>
      <c r="X29" s="13">
        <f>U29+V29-W29</f>
        <v>95</v>
      </c>
      <c r="Y29" s="62"/>
      <c r="Z29" s="143"/>
      <c r="AA29" s="13">
        <f t="shared" si="27"/>
        <v>95</v>
      </c>
      <c r="AB29" s="62">
        <f>-40+30+70+30</f>
        <v>90</v>
      </c>
      <c r="AC29" s="143">
        <f>2+8+7+72</f>
        <v>89</v>
      </c>
      <c r="AD29" s="13">
        <f t="shared" si="28"/>
        <v>96</v>
      </c>
      <c r="AE29" s="62">
        <f>-63+80+40+30</f>
        <v>87</v>
      </c>
      <c r="AF29" s="143">
        <f>8+3+4+7+74</f>
        <v>96</v>
      </c>
      <c r="AG29" s="13">
        <f>AD29+AE29-AF29</f>
        <v>87</v>
      </c>
      <c r="AH29" s="62"/>
      <c r="AI29" s="143"/>
      <c r="AJ29" s="13">
        <f t="shared" si="30"/>
        <v>87</v>
      </c>
      <c r="AK29" s="62">
        <f>-15+70+30</f>
        <v>85</v>
      </c>
      <c r="AL29" s="143">
        <f>2+10+75+5</f>
        <v>92</v>
      </c>
      <c r="AM29" s="13">
        <f t="shared" si="6"/>
        <v>80</v>
      </c>
      <c r="AN29" s="62">
        <f>-68+20+120+40</f>
        <v>112</v>
      </c>
      <c r="AO29" s="143">
        <f>4+8+8+60</f>
        <v>80</v>
      </c>
      <c r="AP29" s="13">
        <f t="shared" si="7"/>
        <v>112</v>
      </c>
      <c r="AQ29" s="62">
        <f>-72+40+80+40</f>
        <v>88</v>
      </c>
      <c r="AR29" s="143">
        <f>16+9+87</f>
        <v>112</v>
      </c>
      <c r="AS29" s="13">
        <f t="shared" si="8"/>
        <v>88</v>
      </c>
      <c r="AT29" s="62"/>
      <c r="AU29" s="143"/>
      <c r="AV29" s="13">
        <f t="shared" si="9"/>
        <v>88</v>
      </c>
      <c r="AW29" s="62">
        <f>-36+20+100+30</f>
        <v>114</v>
      </c>
      <c r="AX29" s="143">
        <f>12+6+9+61</f>
        <v>88</v>
      </c>
      <c r="AY29" s="13">
        <f t="shared" si="10"/>
        <v>114</v>
      </c>
      <c r="AZ29" s="62">
        <f>-40+40+60+30</f>
        <v>90</v>
      </c>
      <c r="BA29" s="143">
        <f>16+11+87</f>
        <v>114</v>
      </c>
      <c r="BB29" s="13">
        <f t="shared" si="11"/>
        <v>90</v>
      </c>
      <c r="BC29" s="62"/>
      <c r="BD29" s="143">
        <f>2</f>
        <v>2</v>
      </c>
      <c r="BE29" s="13">
        <f t="shared" si="12"/>
        <v>88</v>
      </c>
      <c r="BF29" s="62">
        <f>-36+40+40+30</f>
        <v>74</v>
      </c>
      <c r="BG29" s="143">
        <f>4+10+8+66</f>
        <v>88</v>
      </c>
      <c r="BH29" s="13">
        <f t="shared" si="13"/>
        <v>74</v>
      </c>
      <c r="BI29" s="62">
        <f>-70+40+80+30</f>
        <v>80</v>
      </c>
      <c r="BJ29" s="143">
        <f>3+8+4+55</f>
        <v>70</v>
      </c>
      <c r="BK29" s="13">
        <f t="shared" si="14"/>
        <v>84</v>
      </c>
      <c r="BL29" s="62">
        <f>-65+50+50</f>
        <v>35</v>
      </c>
      <c r="BM29" s="143">
        <f>12+15+57</f>
        <v>84</v>
      </c>
      <c r="BN29" s="13">
        <f t="shared" si="15"/>
        <v>35</v>
      </c>
      <c r="BO29" s="62"/>
      <c r="BP29" s="143"/>
      <c r="BQ29" s="13">
        <f t="shared" si="16"/>
        <v>35</v>
      </c>
      <c r="BR29" s="62">
        <f>-37+60+60</f>
        <v>83</v>
      </c>
      <c r="BS29" s="143">
        <f>2+6+7+20</f>
        <v>35</v>
      </c>
      <c r="BT29" s="13">
        <f t="shared" si="17"/>
        <v>83</v>
      </c>
      <c r="BU29" s="62">
        <f>-83+60+100</f>
        <v>77</v>
      </c>
      <c r="BV29" s="143">
        <f>10+4+6+63</f>
        <v>83</v>
      </c>
      <c r="BW29" s="13">
        <f t="shared" si="18"/>
        <v>77</v>
      </c>
      <c r="BX29" s="62"/>
      <c r="BY29" s="143"/>
      <c r="BZ29" s="13">
        <f t="shared" si="19"/>
        <v>77</v>
      </c>
      <c r="CA29" s="62">
        <f>-21+100+100</f>
        <v>179</v>
      </c>
      <c r="CB29" s="143">
        <f>7+6+64</f>
        <v>77</v>
      </c>
      <c r="CC29" s="13">
        <f t="shared" si="20"/>
        <v>179</v>
      </c>
      <c r="CD29" s="62">
        <v>120</v>
      </c>
      <c r="CE29" s="143">
        <f>9+110+5</f>
        <v>124</v>
      </c>
      <c r="CF29" s="13">
        <f t="shared" si="21"/>
        <v>175</v>
      </c>
      <c r="CG29" s="62">
        <f>140+100</f>
        <v>240</v>
      </c>
      <c r="CH29" s="143">
        <f>14+14+123</f>
        <v>151</v>
      </c>
      <c r="CI29" s="13">
        <f t="shared" si="31"/>
        <v>264</v>
      </c>
      <c r="CJ29" s="62">
        <f>100+60</f>
        <v>160</v>
      </c>
      <c r="CK29" s="143"/>
      <c r="CL29" s="13">
        <f t="shared" si="32"/>
        <v>424</v>
      </c>
      <c r="CM29" s="62">
        <f>130+50</f>
        <v>180</v>
      </c>
      <c r="CN29" s="143">
        <f>6+124+7</f>
        <v>137</v>
      </c>
      <c r="CO29" s="13">
        <f t="shared" si="22"/>
        <v>467</v>
      </c>
      <c r="CP29" s="62"/>
      <c r="CQ29" s="143">
        <f>16+203+20</f>
        <v>239</v>
      </c>
      <c r="CR29" s="13">
        <f t="shared" si="33"/>
        <v>228</v>
      </c>
      <c r="CS29" s="62"/>
      <c r="CT29" s="143"/>
      <c r="CU29" s="14">
        <f t="shared" si="23"/>
        <v>228</v>
      </c>
      <c r="CV29" s="5">
        <f t="shared" si="24"/>
        <v>2362</v>
      </c>
      <c r="CW29" s="4">
        <f t="shared" si="24"/>
        <v>2184</v>
      </c>
      <c r="CX29" s="6">
        <f t="shared" si="25"/>
        <v>228</v>
      </c>
      <c r="CY29" s="162">
        <v>125</v>
      </c>
      <c r="CZ29" s="171">
        <f t="shared" si="26"/>
        <v>28500</v>
      </c>
      <c r="DB29" s="2">
        <f t="shared" si="34"/>
        <v>228</v>
      </c>
      <c r="DC29" s="61"/>
      <c r="DD29" s="143"/>
      <c r="DE29" s="149">
        <f t="shared" si="35"/>
        <v>228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0</v>
      </c>
      <c r="G32" s="62"/>
      <c r="H32" s="143"/>
      <c r="I32" s="13">
        <f t="shared" si="0"/>
        <v>0</v>
      </c>
      <c r="J32" s="62"/>
      <c r="K32" s="143"/>
      <c r="L32" s="13">
        <f t="shared" si="1"/>
        <v>0</v>
      </c>
      <c r="M32" s="62"/>
      <c r="N32" s="143"/>
      <c r="O32" s="13">
        <f t="shared" si="2"/>
        <v>0</v>
      </c>
      <c r="P32" s="62"/>
      <c r="Q32" s="143"/>
      <c r="R32" s="30">
        <f t="shared" si="3"/>
        <v>0</v>
      </c>
      <c r="S32" s="62"/>
      <c r="T32" s="143"/>
      <c r="U32" s="13">
        <f t="shared" si="4"/>
        <v>0</v>
      </c>
      <c r="V32" s="62"/>
      <c r="W32" s="143"/>
      <c r="X32" s="13">
        <f t="shared" si="5"/>
        <v>0</v>
      </c>
      <c r="Y32" s="62"/>
      <c r="Z32" s="143"/>
      <c r="AA32" s="13">
        <f t="shared" si="27"/>
        <v>0</v>
      </c>
      <c r="AB32" s="62"/>
      <c r="AC32" s="143"/>
      <c r="AD32" s="13">
        <f t="shared" si="28"/>
        <v>0</v>
      </c>
      <c r="AE32" s="62"/>
      <c r="AF32" s="143"/>
      <c r="AG32" s="13">
        <f t="shared" si="29"/>
        <v>0</v>
      </c>
      <c r="AH32" s="62"/>
      <c r="AI32" s="143"/>
      <c r="AJ32" s="13">
        <f t="shared" si="30"/>
        <v>0</v>
      </c>
      <c r="AK32" s="62"/>
      <c r="AL32" s="143"/>
      <c r="AM32" s="13">
        <f t="shared" si="6"/>
        <v>0</v>
      </c>
      <c r="AN32" s="62"/>
      <c r="AO32" s="143"/>
      <c r="AP32" s="13">
        <f t="shared" si="7"/>
        <v>0</v>
      </c>
      <c r="AQ32" s="62"/>
      <c r="AR32" s="143"/>
      <c r="AS32" s="13">
        <f t="shared" si="8"/>
        <v>0</v>
      </c>
      <c r="AT32" s="62"/>
      <c r="AU32" s="143"/>
      <c r="AV32" s="13">
        <f t="shared" si="9"/>
        <v>0</v>
      </c>
      <c r="AW32" s="62"/>
      <c r="AX32" s="143"/>
      <c r="AY32" s="13">
        <f t="shared" si="10"/>
        <v>0</v>
      </c>
      <c r="AZ32" s="62"/>
      <c r="BA32" s="143"/>
      <c r="BB32" s="13">
        <f t="shared" si="11"/>
        <v>0</v>
      </c>
      <c r="BC32" s="62"/>
      <c r="BD32" s="143"/>
      <c r="BE32" s="13">
        <f t="shared" si="12"/>
        <v>0</v>
      </c>
      <c r="BF32" s="62"/>
      <c r="BG32" s="143"/>
      <c r="BH32" s="13">
        <f t="shared" si="13"/>
        <v>0</v>
      </c>
      <c r="BI32" s="62"/>
      <c r="BJ32" s="143"/>
      <c r="BK32" s="13">
        <f t="shared" si="14"/>
        <v>0</v>
      </c>
      <c r="BL32" s="62"/>
      <c r="BM32" s="143"/>
      <c r="BN32" s="13">
        <f t="shared" si="15"/>
        <v>0</v>
      </c>
      <c r="BO32" s="62"/>
      <c r="BP32" s="143"/>
      <c r="BQ32" s="13">
        <f t="shared" si="16"/>
        <v>0</v>
      </c>
      <c r="BR32" s="62"/>
      <c r="BS32" s="143"/>
      <c r="BT32" s="13">
        <f t="shared" si="17"/>
        <v>0</v>
      </c>
      <c r="BU32" s="62">
        <v>20</v>
      </c>
      <c r="BV32" s="143"/>
      <c r="BW32" s="13">
        <f t="shared" si="18"/>
        <v>20</v>
      </c>
      <c r="BX32" s="62"/>
      <c r="BY32" s="143">
        <v>20</v>
      </c>
      <c r="BZ32" s="13">
        <f t="shared" si="19"/>
        <v>0</v>
      </c>
      <c r="CA32" s="62"/>
      <c r="CB32" s="143"/>
      <c r="CC32" s="13">
        <f t="shared" si="20"/>
        <v>0</v>
      </c>
      <c r="CD32" s="62"/>
      <c r="CE32" s="143"/>
      <c r="CF32" s="13">
        <f t="shared" si="21"/>
        <v>0</v>
      </c>
      <c r="CG32" s="62"/>
      <c r="CH32" s="143"/>
      <c r="CI32" s="13">
        <f t="shared" si="31"/>
        <v>0</v>
      </c>
      <c r="CJ32" s="62"/>
      <c r="CK32" s="143"/>
      <c r="CL32" s="13">
        <f t="shared" si="32"/>
        <v>0</v>
      </c>
      <c r="CM32" s="62"/>
      <c r="CN32" s="143"/>
      <c r="CO32" s="13">
        <f t="shared" si="22"/>
        <v>0</v>
      </c>
      <c r="CP32" s="62"/>
      <c r="CQ32" s="143"/>
      <c r="CR32" s="13">
        <f t="shared" si="33"/>
        <v>0</v>
      </c>
      <c r="CS32" s="62"/>
      <c r="CT32" s="143"/>
      <c r="CU32" s="14">
        <f t="shared" si="23"/>
        <v>0</v>
      </c>
      <c r="CV32" s="5">
        <f t="shared" si="24"/>
        <v>20</v>
      </c>
      <c r="CW32" s="4">
        <f t="shared" si="24"/>
        <v>20</v>
      </c>
      <c r="CX32" s="6">
        <f t="shared" si="25"/>
        <v>0</v>
      </c>
      <c r="CY32" s="162">
        <v>0</v>
      </c>
      <c r="CZ32" s="171">
        <f t="shared" si="26"/>
        <v>0</v>
      </c>
      <c r="DB32" s="2">
        <f t="shared" si="34"/>
        <v>0</v>
      </c>
      <c r="DC32" s="61"/>
      <c r="DD32" s="143"/>
      <c r="DE32" s="149">
        <f t="shared" si="35"/>
        <v>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317</v>
      </c>
      <c r="E36" s="35" t="s">
        <v>51</v>
      </c>
      <c r="F36" s="14">
        <v>21</v>
      </c>
      <c r="G36" s="62">
        <f>2+4</f>
        <v>6</v>
      </c>
      <c r="H36" s="143">
        <f>1+6</f>
        <v>7</v>
      </c>
      <c r="I36" s="13">
        <f t="shared" si="0"/>
        <v>20</v>
      </c>
      <c r="J36" s="62">
        <f>2+4</f>
        <v>6</v>
      </c>
      <c r="K36" s="143">
        <v>7</v>
      </c>
      <c r="L36" s="13">
        <f t="shared" si="1"/>
        <v>19</v>
      </c>
      <c r="M36" s="62"/>
      <c r="N36" s="143"/>
      <c r="O36" s="13">
        <f t="shared" si="2"/>
        <v>19</v>
      </c>
      <c r="P36" s="62">
        <v>4</v>
      </c>
      <c r="Q36" s="143">
        <v>6</v>
      </c>
      <c r="R36" s="30">
        <f t="shared" si="3"/>
        <v>17</v>
      </c>
      <c r="S36" s="62">
        <v>6</v>
      </c>
      <c r="T36" s="143">
        <v>5</v>
      </c>
      <c r="U36" s="13">
        <f t="shared" si="4"/>
        <v>18</v>
      </c>
      <c r="V36" s="62">
        <f>2+4</f>
        <v>6</v>
      </c>
      <c r="W36" s="143">
        <v>7</v>
      </c>
      <c r="X36" s="13">
        <f t="shared" si="5"/>
        <v>17</v>
      </c>
      <c r="Y36" s="62"/>
      <c r="Z36" s="143"/>
      <c r="AA36" s="13">
        <f t="shared" si="27"/>
        <v>17</v>
      </c>
      <c r="AB36" s="62">
        <f>2+4</f>
        <v>6</v>
      </c>
      <c r="AC36" s="143">
        <f>1+4</f>
        <v>5</v>
      </c>
      <c r="AD36" s="13">
        <f t="shared" si="28"/>
        <v>18</v>
      </c>
      <c r="AE36" s="62">
        <f>2+4</f>
        <v>6</v>
      </c>
      <c r="AF36" s="143">
        <v>8</v>
      </c>
      <c r="AG36" s="13">
        <f t="shared" si="29"/>
        <v>16</v>
      </c>
      <c r="AH36" s="62"/>
      <c r="AI36" s="143"/>
      <c r="AJ36" s="13">
        <f t="shared" si="30"/>
        <v>16</v>
      </c>
      <c r="AK36" s="62">
        <f>2+4</f>
        <v>6</v>
      </c>
      <c r="AL36" s="143">
        <f>3+1</f>
        <v>4</v>
      </c>
      <c r="AM36" s="13">
        <f t="shared" si="6"/>
        <v>18</v>
      </c>
      <c r="AN36" s="62">
        <f>2+4</f>
        <v>6</v>
      </c>
      <c r="AO36" s="143">
        <v>6</v>
      </c>
      <c r="AP36" s="13">
        <f t="shared" si="7"/>
        <v>18</v>
      </c>
      <c r="AQ36" s="62">
        <f>2+4</f>
        <v>6</v>
      </c>
      <c r="AR36" s="143">
        <v>3</v>
      </c>
      <c r="AS36" s="13">
        <f t="shared" si="8"/>
        <v>21</v>
      </c>
      <c r="AT36" s="62"/>
      <c r="AU36" s="143"/>
      <c r="AV36" s="13">
        <f t="shared" si="9"/>
        <v>21</v>
      </c>
      <c r="AW36" s="62">
        <v>6</v>
      </c>
      <c r="AX36" s="143">
        <v>4</v>
      </c>
      <c r="AY36" s="13">
        <f t="shared" si="10"/>
        <v>23</v>
      </c>
      <c r="AZ36" s="62">
        <v>2</v>
      </c>
      <c r="BA36" s="143">
        <v>9</v>
      </c>
      <c r="BB36" s="13">
        <f t="shared" si="11"/>
        <v>16</v>
      </c>
      <c r="BC36" s="62"/>
      <c r="BD36" s="143"/>
      <c r="BE36" s="13">
        <f t="shared" si="12"/>
        <v>16</v>
      </c>
      <c r="BF36" s="62">
        <f>2+4+4</f>
        <v>10</v>
      </c>
      <c r="BG36" s="143">
        <v>7</v>
      </c>
      <c r="BH36" s="13">
        <f t="shared" si="13"/>
        <v>19</v>
      </c>
      <c r="BI36" s="62">
        <f>2+4</f>
        <v>6</v>
      </c>
      <c r="BJ36" s="143">
        <v>7</v>
      </c>
      <c r="BK36" s="13">
        <f t="shared" si="14"/>
        <v>18</v>
      </c>
      <c r="BL36" s="62">
        <f>2+4</f>
        <v>6</v>
      </c>
      <c r="BM36" s="143">
        <v>8</v>
      </c>
      <c r="BN36" s="13">
        <f t="shared" si="15"/>
        <v>16</v>
      </c>
      <c r="BO36" s="62"/>
      <c r="BP36" s="143"/>
      <c r="BQ36" s="13">
        <f t="shared" si="16"/>
        <v>16</v>
      </c>
      <c r="BR36" s="62">
        <f>2+4</f>
        <v>6</v>
      </c>
      <c r="BS36" s="143">
        <f>5+1</f>
        <v>6</v>
      </c>
      <c r="BT36" s="13">
        <f t="shared" si="17"/>
        <v>16</v>
      </c>
      <c r="BU36" s="62">
        <v>6</v>
      </c>
      <c r="BV36" s="143">
        <v>8</v>
      </c>
      <c r="BW36" s="13">
        <f t="shared" si="18"/>
        <v>14</v>
      </c>
      <c r="BX36" s="62"/>
      <c r="BY36" s="143"/>
      <c r="BZ36" s="13">
        <f t="shared" si="19"/>
        <v>14</v>
      </c>
      <c r="CA36" s="62">
        <f>4+2</f>
        <v>6</v>
      </c>
      <c r="CB36" s="143">
        <v>5</v>
      </c>
      <c r="CC36" s="13">
        <f t="shared" si="20"/>
        <v>15</v>
      </c>
      <c r="CD36" s="62">
        <f>4+2+4</f>
        <v>10</v>
      </c>
      <c r="CE36" s="143">
        <f>5+7</f>
        <v>12</v>
      </c>
      <c r="CF36" s="13">
        <f t="shared" si="21"/>
        <v>13</v>
      </c>
      <c r="CG36" s="62">
        <f>2+4+10</f>
        <v>16</v>
      </c>
      <c r="CH36" s="143">
        <v>9</v>
      </c>
      <c r="CI36" s="13">
        <f t="shared" si="31"/>
        <v>20</v>
      </c>
      <c r="CJ36" s="62">
        <f>2+4+4+10</f>
        <v>20</v>
      </c>
      <c r="CK36" s="143"/>
      <c r="CL36" s="13">
        <f t="shared" si="32"/>
        <v>40</v>
      </c>
      <c r="CM36" s="62">
        <f>2+4+5+1</f>
        <v>12</v>
      </c>
      <c r="CN36" s="143">
        <f>5+9</f>
        <v>14</v>
      </c>
      <c r="CO36" s="13">
        <f t="shared" si="22"/>
        <v>38</v>
      </c>
      <c r="CP36" s="62"/>
      <c r="CQ36" s="143">
        <f>6+12</f>
        <v>18</v>
      </c>
      <c r="CR36" s="13">
        <f t="shared" si="33"/>
        <v>20</v>
      </c>
      <c r="CS36" s="62"/>
      <c r="CT36" s="143"/>
      <c r="CU36" s="14">
        <f t="shared" si="23"/>
        <v>20</v>
      </c>
      <c r="CV36" s="5">
        <f t="shared" si="24"/>
        <v>164</v>
      </c>
      <c r="CW36" s="4">
        <f t="shared" si="24"/>
        <v>165</v>
      </c>
      <c r="CX36" s="6">
        <f t="shared" si="25"/>
        <v>20</v>
      </c>
      <c r="CY36" s="162">
        <v>2000</v>
      </c>
      <c r="CZ36" s="171">
        <f t="shared" si="26"/>
        <v>40000</v>
      </c>
      <c r="DB36" s="2">
        <f t="shared" si="34"/>
        <v>20</v>
      </c>
      <c r="DC36" s="61"/>
      <c r="DD36" s="143"/>
      <c r="DE36" s="149">
        <f t="shared" si="35"/>
        <v>20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/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 t="s">
        <v>320</v>
      </c>
      <c r="E39" s="34" t="s">
        <v>83</v>
      </c>
      <c r="F39" s="14">
        <v>20</v>
      </c>
      <c r="G39" s="62">
        <f>-10+30+10</f>
        <v>30</v>
      </c>
      <c r="H39" s="143">
        <f>2+7+3+3+5</f>
        <v>20</v>
      </c>
      <c r="I39" s="13">
        <f t="shared" si="0"/>
        <v>30</v>
      </c>
      <c r="J39" s="62">
        <f>-10+20+30</f>
        <v>40</v>
      </c>
      <c r="K39" s="143">
        <f>7+4+19</f>
        <v>30</v>
      </c>
      <c r="L39" s="13">
        <f t="shared" si="1"/>
        <v>40</v>
      </c>
      <c r="M39" s="62"/>
      <c r="N39" s="143">
        <f>3+5</f>
        <v>8</v>
      </c>
      <c r="O39" s="13">
        <f t="shared" si="2"/>
        <v>32</v>
      </c>
      <c r="P39" s="62">
        <v>20</v>
      </c>
      <c r="Q39" s="143">
        <f>8+3+4+1</f>
        <v>16</v>
      </c>
      <c r="R39" s="30">
        <f t="shared" si="3"/>
        <v>36</v>
      </c>
      <c r="S39" s="62">
        <v>40</v>
      </c>
      <c r="T39" s="143">
        <f>8+1+14</f>
        <v>23</v>
      </c>
      <c r="U39" s="13">
        <f t="shared" si="4"/>
        <v>53</v>
      </c>
      <c r="V39" s="62">
        <v>30</v>
      </c>
      <c r="W39" s="143">
        <f>4+6+38</f>
        <v>48</v>
      </c>
      <c r="X39" s="13">
        <f t="shared" si="5"/>
        <v>35</v>
      </c>
      <c r="Y39" s="62"/>
      <c r="Z39" s="143"/>
      <c r="AA39" s="13">
        <f t="shared" si="27"/>
        <v>35</v>
      </c>
      <c r="AB39" s="62">
        <f>-14+20+30</f>
        <v>36</v>
      </c>
      <c r="AC39" s="143">
        <f>5+13+3+14</f>
        <v>35</v>
      </c>
      <c r="AD39" s="13">
        <f t="shared" si="28"/>
        <v>36</v>
      </c>
      <c r="AE39" s="62">
        <f>-2+20</f>
        <v>18</v>
      </c>
      <c r="AF39" s="143">
        <f>2+5+6+23</f>
        <v>36</v>
      </c>
      <c r="AG39" s="13">
        <f t="shared" si="29"/>
        <v>18</v>
      </c>
      <c r="AH39" s="62"/>
      <c r="AI39" s="143"/>
      <c r="AJ39" s="13">
        <f t="shared" si="30"/>
        <v>18</v>
      </c>
      <c r="AK39" s="62">
        <v>20</v>
      </c>
      <c r="AL39" s="143">
        <f>3+1+10</f>
        <v>14</v>
      </c>
      <c r="AM39" s="13">
        <f t="shared" si="6"/>
        <v>24</v>
      </c>
      <c r="AN39" s="62">
        <v>30</v>
      </c>
      <c r="AO39" s="143">
        <f>1+22</f>
        <v>23</v>
      </c>
      <c r="AP39" s="13">
        <f t="shared" si="7"/>
        <v>31</v>
      </c>
      <c r="AQ39" s="62">
        <f>-9+20+30</f>
        <v>41</v>
      </c>
      <c r="AR39" s="143">
        <f>2+2+27</f>
        <v>31</v>
      </c>
      <c r="AS39" s="13">
        <f t="shared" si="8"/>
        <v>41</v>
      </c>
      <c r="AT39" s="62"/>
      <c r="AU39" s="143"/>
      <c r="AV39" s="13">
        <f t="shared" si="9"/>
        <v>41</v>
      </c>
      <c r="AW39" s="62">
        <v>40</v>
      </c>
      <c r="AX39" s="143">
        <f>4+7+3+3+6+18</f>
        <v>41</v>
      </c>
      <c r="AY39" s="13">
        <f t="shared" si="10"/>
        <v>40</v>
      </c>
      <c r="AZ39" s="62">
        <f>10+10</f>
        <v>20</v>
      </c>
      <c r="BA39" s="143">
        <f>2+7+6+19</f>
        <v>34</v>
      </c>
      <c r="BB39" s="13">
        <f t="shared" si="11"/>
        <v>26</v>
      </c>
      <c r="BC39" s="62"/>
      <c r="BD39" s="143"/>
      <c r="BE39" s="13">
        <f t="shared" si="12"/>
        <v>26</v>
      </c>
      <c r="BF39" s="62">
        <f>10+20</f>
        <v>30</v>
      </c>
      <c r="BG39" s="143">
        <f>8+2+2+12</f>
        <v>24</v>
      </c>
      <c r="BH39" s="13">
        <f t="shared" si="13"/>
        <v>32</v>
      </c>
      <c r="BI39" s="62">
        <v>20</v>
      </c>
      <c r="BJ39" s="193">
        <f>2+8+1+2+18</f>
        <v>31</v>
      </c>
      <c r="BK39" s="13">
        <f t="shared" si="14"/>
        <v>21</v>
      </c>
      <c r="BL39" s="62">
        <f>-20+20+30</f>
        <v>30</v>
      </c>
      <c r="BM39" s="143">
        <f>2+5+14</f>
        <v>21</v>
      </c>
      <c r="BN39" s="13">
        <f t="shared" si="15"/>
        <v>30</v>
      </c>
      <c r="BO39" s="62"/>
      <c r="BP39" s="143"/>
      <c r="BQ39" s="13">
        <f t="shared" si="16"/>
        <v>30</v>
      </c>
      <c r="BR39" s="62">
        <v>30</v>
      </c>
      <c r="BS39" s="143">
        <f>5+13+1+6+4</f>
        <v>29</v>
      </c>
      <c r="BT39" s="13">
        <f t="shared" si="17"/>
        <v>31</v>
      </c>
      <c r="BU39" s="62">
        <f>-2+30</f>
        <v>28</v>
      </c>
      <c r="BV39" s="143">
        <f>5+5+21</f>
        <v>31</v>
      </c>
      <c r="BW39" s="13">
        <f t="shared" si="18"/>
        <v>28</v>
      </c>
      <c r="BX39" s="62"/>
      <c r="BY39" s="143"/>
      <c r="BZ39" s="13">
        <f t="shared" si="19"/>
        <v>28</v>
      </c>
      <c r="CA39" s="62">
        <v>20</v>
      </c>
      <c r="CB39" s="143">
        <f>1+2+3+11</f>
        <v>17</v>
      </c>
      <c r="CC39" s="13">
        <f t="shared" si="20"/>
        <v>31</v>
      </c>
      <c r="CD39" s="62">
        <v>30</v>
      </c>
      <c r="CE39" s="143">
        <f>2+16+4</f>
        <v>22</v>
      </c>
      <c r="CF39" s="13">
        <f t="shared" si="21"/>
        <v>39</v>
      </c>
      <c r="CG39" s="62">
        <v>50</v>
      </c>
      <c r="CH39" s="143">
        <f>4+4+23</f>
        <v>31</v>
      </c>
      <c r="CI39" s="13">
        <f t="shared" si="31"/>
        <v>58</v>
      </c>
      <c r="CJ39" s="62">
        <v>50</v>
      </c>
      <c r="CK39" s="143"/>
      <c r="CL39" s="13">
        <f t="shared" si="32"/>
        <v>108</v>
      </c>
      <c r="CM39" s="62">
        <v>40</v>
      </c>
      <c r="CN39" s="143">
        <f>2+13+5</f>
        <v>20</v>
      </c>
      <c r="CO39" s="13">
        <f t="shared" si="22"/>
        <v>128</v>
      </c>
      <c r="CP39" s="62"/>
      <c r="CQ39" s="143">
        <f>6+61+11</f>
        <v>78</v>
      </c>
      <c r="CR39" s="13">
        <f t="shared" si="33"/>
        <v>50</v>
      </c>
      <c r="CS39" s="62"/>
      <c r="CT39" s="143"/>
      <c r="CU39" s="14">
        <f t="shared" si="23"/>
        <v>50</v>
      </c>
      <c r="CV39" s="5">
        <f t="shared" si="36"/>
        <v>693</v>
      </c>
      <c r="CW39" s="4">
        <f t="shared" si="36"/>
        <v>663</v>
      </c>
      <c r="CX39" s="6">
        <f t="shared" si="25"/>
        <v>50</v>
      </c>
      <c r="CY39" s="162">
        <v>140</v>
      </c>
      <c r="CZ39" s="171">
        <f t="shared" si="26"/>
        <v>7000</v>
      </c>
      <c r="DB39" s="2">
        <f t="shared" si="34"/>
        <v>50</v>
      </c>
      <c r="DC39" s="61"/>
      <c r="DD39" s="143"/>
      <c r="DE39" s="149">
        <f t="shared" si="35"/>
        <v>50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20</v>
      </c>
      <c r="E40" s="159" t="s">
        <v>85</v>
      </c>
      <c r="F40" s="14">
        <v>39.9</v>
      </c>
      <c r="G40" s="62">
        <v>20</v>
      </c>
      <c r="H40" s="143">
        <f>0.9+0.9+2+4.3+2.2+1+2+0.9+0.6+1.1+1.8+0.6</f>
        <v>18.3</v>
      </c>
      <c r="I40" s="13">
        <f t="shared" si="0"/>
        <v>41.599999999999994</v>
      </c>
      <c r="J40" s="62"/>
      <c r="K40" s="143">
        <f>1.5+1.3+2.8+0.9+1.9+0.7+1.2</f>
        <v>10.299999999999999</v>
      </c>
      <c r="L40" s="13">
        <f t="shared" si="1"/>
        <v>31.299999999999997</v>
      </c>
      <c r="M40" s="62"/>
      <c r="N40" s="143">
        <f>1.4+0.9+0.3+1.5+2.7+0.8+3.8</f>
        <v>11.399999999999999</v>
      </c>
      <c r="O40" s="13">
        <f t="shared" si="2"/>
        <v>19.899999999999999</v>
      </c>
      <c r="P40" s="62">
        <v>20</v>
      </c>
      <c r="Q40" s="143">
        <f>3.2+1.9+0.8+1.7+1.1+1.7+0.5+2.2</f>
        <v>13.099999999999998</v>
      </c>
      <c r="R40" s="30">
        <f t="shared" si="3"/>
        <v>26.8</v>
      </c>
      <c r="S40" s="62"/>
      <c r="T40" s="143">
        <f>2.5+0.2+0.2+0.2+0.2+0.2+0.2</f>
        <v>3.7000000000000011</v>
      </c>
      <c r="U40" s="13">
        <f t="shared" si="4"/>
        <v>23.1</v>
      </c>
      <c r="V40" s="62">
        <v>20</v>
      </c>
      <c r="W40" s="143">
        <f>0.9+1.2+1</f>
        <v>3.1</v>
      </c>
      <c r="X40" s="13">
        <f t="shared" si="5"/>
        <v>40</v>
      </c>
      <c r="Y40" s="62"/>
      <c r="Z40" s="143"/>
      <c r="AA40" s="13">
        <f t="shared" si="27"/>
        <v>40</v>
      </c>
      <c r="AB40" s="62">
        <v>20</v>
      </c>
      <c r="AC40" s="143">
        <f>1.5+1+2.9+1.4+1.2+1.3+1.5+1+0.9+1.1+1+2+2.5</f>
        <v>19.3</v>
      </c>
      <c r="AD40" s="13">
        <f t="shared" si="28"/>
        <v>40.700000000000003</v>
      </c>
      <c r="AE40" s="62"/>
      <c r="AF40" s="143">
        <f>1.6+1.3+1.1+1.3+1+1.2+1+0.7+0.2</f>
        <v>9.3999999999999986</v>
      </c>
      <c r="AG40" s="13">
        <f t="shared" si="29"/>
        <v>31.300000000000004</v>
      </c>
      <c r="AH40" s="62"/>
      <c r="AI40" s="143">
        <f>2+0.9+2.1+0.9+1.4+1.3</f>
        <v>8.6000000000000014</v>
      </c>
      <c r="AJ40" s="13">
        <f t="shared" si="30"/>
        <v>22.700000000000003</v>
      </c>
      <c r="AK40" s="62"/>
      <c r="AL40" s="143">
        <f>1.4+1.5+0.9+0.9+0.9+1.5+0.9</f>
        <v>8</v>
      </c>
      <c r="AM40" s="13">
        <f t="shared" si="6"/>
        <v>14.700000000000003</v>
      </c>
      <c r="AN40" s="62">
        <v>20</v>
      </c>
      <c r="AO40" s="143">
        <f>1.3+0.2+0.2+1.1+0.2+0.2+0.3+0.1</f>
        <v>3.6</v>
      </c>
      <c r="AP40" s="13">
        <f t="shared" si="7"/>
        <v>31.1</v>
      </c>
      <c r="AQ40" s="62">
        <v>20</v>
      </c>
      <c r="AR40" s="143">
        <f>1.5</f>
        <v>1.5</v>
      </c>
      <c r="AS40" s="13">
        <f t="shared" si="8"/>
        <v>49.6</v>
      </c>
      <c r="AT40" s="62"/>
      <c r="AU40" s="143"/>
      <c r="AV40" s="13">
        <f t="shared" si="9"/>
        <v>49.6</v>
      </c>
      <c r="AW40" s="62"/>
      <c r="AX40" s="143">
        <f>4.3+1.8+1.6+1+1.6+0.8+1.2+1+1.7+0.5</f>
        <v>15.499999999999998</v>
      </c>
      <c r="AY40" s="13">
        <f t="shared" si="10"/>
        <v>34.1</v>
      </c>
      <c r="AZ40" s="62">
        <v>20</v>
      </c>
      <c r="BA40" s="143">
        <f>1+1.5+1.9+2.6+0.9+1.2+1.1+1.3</f>
        <v>11.5</v>
      </c>
      <c r="BB40" s="13">
        <f t="shared" si="11"/>
        <v>42.6</v>
      </c>
      <c r="BC40" s="62"/>
      <c r="BD40" s="143">
        <f>1.3+0.9+0.4+0.8+0.8+1+0.9+3.8</f>
        <v>9.9</v>
      </c>
      <c r="BE40" s="13">
        <f t="shared" si="12"/>
        <v>32.700000000000003</v>
      </c>
      <c r="BF40" s="62">
        <v>20</v>
      </c>
      <c r="BG40" s="143">
        <f>3.1+2.2+0.9+2.7+1.1+1.6+1+2</f>
        <v>14.600000000000001</v>
      </c>
      <c r="BH40" s="13">
        <f t="shared" si="13"/>
        <v>38.1</v>
      </c>
      <c r="BI40" s="62"/>
      <c r="BJ40" s="143">
        <f>2.5+0.2+0.2+0.3</f>
        <v>3.2</v>
      </c>
      <c r="BK40" s="13">
        <f t="shared" si="14"/>
        <v>34.9</v>
      </c>
      <c r="BL40" s="62"/>
      <c r="BM40" s="143">
        <f>0.9</f>
        <v>0.9</v>
      </c>
      <c r="BN40" s="13">
        <f t="shared" si="15"/>
        <v>34</v>
      </c>
      <c r="BO40" s="62"/>
      <c r="BP40" s="143"/>
      <c r="BQ40" s="13">
        <f t="shared" si="16"/>
        <v>34</v>
      </c>
      <c r="BR40" s="62">
        <v>20</v>
      </c>
      <c r="BS40" s="143">
        <f>1.3+1.4+1.6+2+1.2+2+2+1.8+1.2+1.6+4.4</f>
        <v>20.5</v>
      </c>
      <c r="BT40" s="13">
        <f t="shared" si="17"/>
        <v>33.5</v>
      </c>
      <c r="BU40" s="62">
        <v>20</v>
      </c>
      <c r="BV40" s="143">
        <f>0.3+1+1.7+1.8+1.3+1.5+1+1.5+0.6</f>
        <v>10.7</v>
      </c>
      <c r="BW40" s="13">
        <f t="shared" si="18"/>
        <v>42.8</v>
      </c>
      <c r="BX40" s="62"/>
      <c r="BY40" s="143">
        <f>2.2+2.5+0.8+2.2+0.5</f>
        <v>8.1999999999999993</v>
      </c>
      <c r="BZ40" s="13">
        <f t="shared" si="19"/>
        <v>34.599999999999994</v>
      </c>
      <c r="CA40" s="62"/>
      <c r="CB40" s="143">
        <f>1.4+1.8+1+1.1+0.4</f>
        <v>5.7000000000000011</v>
      </c>
      <c r="CC40" s="13">
        <f t="shared" si="20"/>
        <v>28.899999999999991</v>
      </c>
      <c r="CD40" s="62"/>
      <c r="CE40" s="143">
        <f>1.3+0.2+0.2+0.3+0.3+0.4+1.3+2.1</f>
        <v>6.1</v>
      </c>
      <c r="CF40" s="13">
        <f t="shared" si="21"/>
        <v>22.79999999999999</v>
      </c>
      <c r="CG40" s="62"/>
      <c r="CH40" s="143">
        <f>1</f>
        <v>1</v>
      </c>
      <c r="CI40" s="13">
        <f t="shared" si="31"/>
        <v>21.79999999999999</v>
      </c>
      <c r="CJ40" s="62"/>
      <c r="CK40" s="143"/>
      <c r="CL40" s="13">
        <f t="shared" si="32"/>
        <v>21.79999999999999</v>
      </c>
      <c r="CM40" s="62"/>
      <c r="CN40" s="143">
        <f>0.7+0.2+0.5</f>
        <v>1.4</v>
      </c>
      <c r="CO40" s="13">
        <f t="shared" si="22"/>
        <v>20.399999999999991</v>
      </c>
      <c r="CP40" s="62"/>
      <c r="CQ40" s="143">
        <v>1.6</v>
      </c>
      <c r="CR40" s="13">
        <f t="shared" si="33"/>
        <v>18.79999999999999</v>
      </c>
      <c r="CS40" s="62"/>
      <c r="CT40" s="143"/>
      <c r="CU40" s="14">
        <f t="shared" si="23"/>
        <v>18.79999999999999</v>
      </c>
      <c r="CV40" s="5">
        <f t="shared" si="36"/>
        <v>200</v>
      </c>
      <c r="CW40" s="4">
        <f t="shared" si="36"/>
        <v>221.09999999999994</v>
      </c>
      <c r="CX40" s="6">
        <f t="shared" si="25"/>
        <v>18.79999999999999</v>
      </c>
      <c r="CY40" s="162">
        <v>200</v>
      </c>
      <c r="CZ40" s="171">
        <f t="shared" si="26"/>
        <v>3759.9999999999982</v>
      </c>
      <c r="DB40" s="2">
        <f t="shared" si="34"/>
        <v>18.79999999999999</v>
      </c>
      <c r="DC40" s="62"/>
      <c r="DD40" s="143"/>
      <c r="DE40" s="149">
        <f t="shared" si="35"/>
        <v>18.79999999999999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1</v>
      </c>
      <c r="G42" s="62">
        <v>1</v>
      </c>
      <c r="H42" s="143">
        <v>1</v>
      </c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>
        <v>1</v>
      </c>
      <c r="Q42" s="143">
        <v>1</v>
      </c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2"/>
      <c r="AL42" s="143"/>
      <c r="AM42" s="13">
        <f t="shared" si="6"/>
        <v>1</v>
      </c>
      <c r="AN42" s="62">
        <v>1</v>
      </c>
      <c r="AO42" s="143">
        <v>1</v>
      </c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>
        <v>1</v>
      </c>
      <c r="BJ42" s="143">
        <v>1</v>
      </c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>
        <v>1</v>
      </c>
      <c r="CF42" s="13">
        <f t="shared" si="21"/>
        <v>0</v>
      </c>
      <c r="CG42" s="62"/>
      <c r="CH42" s="143"/>
      <c r="CI42" s="13">
        <f t="shared" si="31"/>
        <v>0</v>
      </c>
      <c r="CJ42" s="62">
        <v>1</v>
      </c>
      <c r="CK42" s="143"/>
      <c r="CL42" s="13">
        <f t="shared" si="32"/>
        <v>1</v>
      </c>
      <c r="CM42" s="62">
        <v>1</v>
      </c>
      <c r="CN42" s="143"/>
      <c r="CO42" s="13">
        <f t="shared" si="22"/>
        <v>2</v>
      </c>
      <c r="CP42" s="62"/>
      <c r="CQ42" s="143">
        <v>1</v>
      </c>
      <c r="CR42" s="13">
        <f t="shared" si="33"/>
        <v>1</v>
      </c>
      <c r="CS42" s="62"/>
      <c r="CT42" s="143"/>
      <c r="CU42" s="14">
        <f t="shared" si="23"/>
        <v>1</v>
      </c>
      <c r="CV42" s="5">
        <f t="shared" si="36"/>
        <v>6</v>
      </c>
      <c r="CW42" s="4">
        <f t="shared" si="36"/>
        <v>6</v>
      </c>
      <c r="CX42" s="6">
        <f t="shared" si="25"/>
        <v>1</v>
      </c>
      <c r="CY42" s="162">
        <v>380</v>
      </c>
      <c r="CZ42" s="171">
        <f t="shared" si="26"/>
        <v>380</v>
      </c>
      <c r="DB42" s="2">
        <f t="shared" si="34"/>
        <v>1</v>
      </c>
      <c r="DC42" s="61"/>
      <c r="DD42" s="143"/>
      <c r="DE42" s="149">
        <f t="shared" si="35"/>
        <v>1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1.5</v>
      </c>
      <c r="G43" s="62">
        <v>2</v>
      </c>
      <c r="H43" s="143">
        <v>1</v>
      </c>
      <c r="I43" s="13">
        <f t="shared" si="0"/>
        <v>2.5</v>
      </c>
      <c r="J43" s="62">
        <v>1</v>
      </c>
      <c r="K43" s="143">
        <f>1+0.5</f>
        <v>1.5</v>
      </c>
      <c r="L43" s="13">
        <f t="shared" si="1"/>
        <v>2</v>
      </c>
      <c r="M43" s="62"/>
      <c r="N43" s="143">
        <f>1+1</f>
        <v>2</v>
      </c>
      <c r="O43" s="13">
        <f t="shared" si="2"/>
        <v>0</v>
      </c>
      <c r="P43" s="62">
        <v>3</v>
      </c>
      <c r="Q43" s="143"/>
      <c r="R43" s="30">
        <f t="shared" si="3"/>
        <v>3</v>
      </c>
      <c r="S43" s="62"/>
      <c r="T43" s="143">
        <f>1+1+0.5</f>
        <v>2.5</v>
      </c>
      <c r="U43" s="13">
        <f t="shared" si="4"/>
        <v>0.5</v>
      </c>
      <c r="V43" s="62">
        <v>3</v>
      </c>
      <c r="W43" s="143"/>
      <c r="X43" s="13">
        <f t="shared" si="5"/>
        <v>3.5</v>
      </c>
      <c r="Y43" s="62"/>
      <c r="Z43" s="143"/>
      <c r="AA43" s="13">
        <f t="shared" si="27"/>
        <v>3.5</v>
      </c>
      <c r="AB43" s="62"/>
      <c r="AC43" s="143">
        <f>0.5+0.5+0.5+0.5</f>
        <v>2</v>
      </c>
      <c r="AD43" s="13">
        <f t="shared" si="28"/>
        <v>1.5</v>
      </c>
      <c r="AE43" s="62">
        <v>4</v>
      </c>
      <c r="AF43" s="143">
        <v>1</v>
      </c>
      <c r="AG43" s="13">
        <f t="shared" si="29"/>
        <v>4.5</v>
      </c>
      <c r="AH43" s="62"/>
      <c r="AI43" s="143"/>
      <c r="AJ43" s="13">
        <f t="shared" si="30"/>
        <v>4.5</v>
      </c>
      <c r="AK43" s="62">
        <v>2</v>
      </c>
      <c r="AL43" s="143">
        <f>1+0.5+2</f>
        <v>3.5</v>
      </c>
      <c r="AM43" s="13">
        <f t="shared" si="6"/>
        <v>3</v>
      </c>
      <c r="AN43" s="62">
        <v>1</v>
      </c>
      <c r="AO43" s="143">
        <f>1+1+0.5</f>
        <v>2.5</v>
      </c>
      <c r="AP43" s="13">
        <f t="shared" si="7"/>
        <v>1.5</v>
      </c>
      <c r="AQ43" s="62">
        <v>2</v>
      </c>
      <c r="AR43" s="143">
        <v>1</v>
      </c>
      <c r="AS43" s="13">
        <f t="shared" si="8"/>
        <v>2.5</v>
      </c>
      <c r="AT43" s="62"/>
      <c r="AU43" s="143"/>
      <c r="AV43" s="13">
        <f t="shared" si="9"/>
        <v>2.5</v>
      </c>
      <c r="AW43" s="62">
        <v>3</v>
      </c>
      <c r="AX43" s="143">
        <f>0.5+0.5+1</f>
        <v>2</v>
      </c>
      <c r="AY43" s="13">
        <f t="shared" si="10"/>
        <v>3.5</v>
      </c>
      <c r="AZ43" s="62">
        <v>1</v>
      </c>
      <c r="BA43" s="143">
        <f>0.5+1+0.5+0.5+0.5</f>
        <v>3</v>
      </c>
      <c r="BB43" s="13">
        <f t="shared" si="11"/>
        <v>1.5</v>
      </c>
      <c r="BC43" s="62"/>
      <c r="BD43" s="143">
        <f>1</f>
        <v>1</v>
      </c>
      <c r="BE43" s="13">
        <f t="shared" si="12"/>
        <v>0.5</v>
      </c>
      <c r="BF43" s="62">
        <v>2</v>
      </c>
      <c r="BG43" s="143">
        <f>0.5</f>
        <v>0.5</v>
      </c>
      <c r="BH43" s="13">
        <f t="shared" si="13"/>
        <v>2</v>
      </c>
      <c r="BI43" s="62">
        <v>4</v>
      </c>
      <c r="BJ43" s="143">
        <v>2</v>
      </c>
      <c r="BK43" s="13">
        <f t="shared" si="14"/>
        <v>4</v>
      </c>
      <c r="BL43" s="62"/>
      <c r="BM43" s="143"/>
      <c r="BN43" s="13">
        <f t="shared" si="15"/>
        <v>4</v>
      </c>
      <c r="BO43" s="62"/>
      <c r="BP43" s="143"/>
      <c r="BQ43" s="13">
        <f t="shared" si="16"/>
        <v>4</v>
      </c>
      <c r="BR43" s="62">
        <v>3</v>
      </c>
      <c r="BS43" s="143">
        <f>1+1+1+0.5+0.5</f>
        <v>4</v>
      </c>
      <c r="BT43" s="13">
        <f t="shared" si="17"/>
        <v>3</v>
      </c>
      <c r="BU43" s="62">
        <v>6</v>
      </c>
      <c r="BV43" s="143">
        <f>1+1+1</f>
        <v>3</v>
      </c>
      <c r="BW43" s="13">
        <f t="shared" si="18"/>
        <v>6</v>
      </c>
      <c r="BX43" s="62"/>
      <c r="BY43" s="143">
        <f>0.5+1</f>
        <v>1.5</v>
      </c>
      <c r="BZ43" s="13">
        <f t="shared" si="19"/>
        <v>4.5</v>
      </c>
      <c r="CA43" s="62">
        <v>3</v>
      </c>
      <c r="CB43" s="143">
        <f>0.5+0.5+0.5+1+2</f>
        <v>4.5</v>
      </c>
      <c r="CC43" s="13">
        <f t="shared" si="20"/>
        <v>3</v>
      </c>
      <c r="CD43" s="62"/>
      <c r="CE43" s="143">
        <f>1+1.5</f>
        <v>2.5</v>
      </c>
      <c r="CF43" s="13">
        <f t="shared" si="21"/>
        <v>0.5</v>
      </c>
      <c r="CG43" s="62"/>
      <c r="CH43" s="143"/>
      <c r="CI43" s="13">
        <f t="shared" si="31"/>
        <v>0.5</v>
      </c>
      <c r="CJ43" s="62"/>
      <c r="CK43" s="143"/>
      <c r="CL43" s="13">
        <f t="shared" si="32"/>
        <v>0.5</v>
      </c>
      <c r="CM43" s="62"/>
      <c r="CN43" s="143">
        <v>0.5</v>
      </c>
      <c r="CO43" s="13">
        <f t="shared" si="22"/>
        <v>0</v>
      </c>
      <c r="CP43" s="62"/>
      <c r="CQ43" s="143"/>
      <c r="CR43" s="13">
        <f t="shared" si="33"/>
        <v>0</v>
      </c>
      <c r="CS43" s="62"/>
      <c r="CT43" s="143"/>
      <c r="CU43" s="14">
        <f t="shared" si="23"/>
        <v>0</v>
      </c>
      <c r="CV43" s="5">
        <f t="shared" si="36"/>
        <v>40</v>
      </c>
      <c r="CW43" s="4">
        <f t="shared" si="36"/>
        <v>41.5</v>
      </c>
      <c r="CX43" s="6">
        <f t="shared" si="25"/>
        <v>0</v>
      </c>
      <c r="CY43" s="162">
        <v>300</v>
      </c>
      <c r="CZ43" s="171">
        <f t="shared" si="26"/>
        <v>0</v>
      </c>
      <c r="DB43" s="2">
        <f t="shared" si="34"/>
        <v>0</v>
      </c>
      <c r="DC43" s="62"/>
      <c r="DD43" s="143"/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/>
      <c r="E45" s="34" t="s">
        <v>21</v>
      </c>
      <c r="F45" s="14">
        <v>4</v>
      </c>
      <c r="G45" s="62"/>
      <c r="H45" s="143">
        <f>2+2</f>
        <v>4</v>
      </c>
      <c r="I45" s="13">
        <f t="shared" si="0"/>
        <v>0</v>
      </c>
      <c r="J45" s="62">
        <v>5</v>
      </c>
      <c r="K45" s="143"/>
      <c r="L45" s="13">
        <f t="shared" si="1"/>
        <v>5</v>
      </c>
      <c r="M45" s="62"/>
      <c r="N45" s="143">
        <f>3+2</f>
        <v>5</v>
      </c>
      <c r="O45" s="13">
        <f t="shared" si="2"/>
        <v>0</v>
      </c>
      <c r="P45" s="62"/>
      <c r="Q45" s="143"/>
      <c r="R45" s="30">
        <f t="shared" si="3"/>
        <v>0</v>
      </c>
      <c r="S45" s="62"/>
      <c r="T45" s="143"/>
      <c r="U45" s="13">
        <f t="shared" si="4"/>
        <v>0</v>
      </c>
      <c r="V45" s="62">
        <v>1</v>
      </c>
      <c r="W45" s="143"/>
      <c r="X45" s="13">
        <f t="shared" si="5"/>
        <v>1</v>
      </c>
      <c r="Y45" s="62"/>
      <c r="Z45" s="143"/>
      <c r="AA45" s="13">
        <f t="shared" si="27"/>
        <v>1</v>
      </c>
      <c r="AB45" s="62"/>
      <c r="AC45" s="143">
        <v>1</v>
      </c>
      <c r="AD45" s="13">
        <f t="shared" si="28"/>
        <v>0</v>
      </c>
      <c r="AE45" s="62">
        <v>2</v>
      </c>
      <c r="AF45" s="143"/>
      <c r="AG45" s="13">
        <f t="shared" si="29"/>
        <v>2</v>
      </c>
      <c r="AH45" s="62"/>
      <c r="AI45" s="143"/>
      <c r="AJ45" s="13">
        <f t="shared" si="30"/>
        <v>2</v>
      </c>
      <c r="AK45" s="62"/>
      <c r="AL45" s="143">
        <v>2</v>
      </c>
      <c r="AM45" s="13">
        <f t="shared" si="6"/>
        <v>0</v>
      </c>
      <c r="AN45" s="62"/>
      <c r="AO45" s="143"/>
      <c r="AP45" s="13">
        <f t="shared" si="7"/>
        <v>0</v>
      </c>
      <c r="AQ45" s="62">
        <v>3</v>
      </c>
      <c r="AR45" s="143"/>
      <c r="AS45" s="13">
        <f t="shared" si="8"/>
        <v>3</v>
      </c>
      <c r="AT45" s="62"/>
      <c r="AU45" s="143"/>
      <c r="AV45" s="13">
        <f t="shared" si="9"/>
        <v>3</v>
      </c>
      <c r="AW45" s="62"/>
      <c r="AX45" s="143">
        <v>3</v>
      </c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11</v>
      </c>
      <c r="CW45" s="4">
        <f t="shared" si="36"/>
        <v>15</v>
      </c>
      <c r="CX45" s="6">
        <f t="shared" si="25"/>
        <v>0</v>
      </c>
      <c r="CY45" s="162">
        <v>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/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/>
      <c r="T46" s="143"/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/>
      <c r="AF46" s="143"/>
      <c r="AG46" s="13">
        <f t="shared" si="29"/>
        <v>0</v>
      </c>
      <c r="AH46" s="176"/>
      <c r="AI46" s="143"/>
      <c r="AJ46" s="13">
        <f t="shared" si="30"/>
        <v>0</v>
      </c>
      <c r="AK46" s="176"/>
      <c r="AL46" s="143"/>
      <c r="AM46" s="13">
        <f t="shared" si="6"/>
        <v>0</v>
      </c>
      <c r="AN46" s="176"/>
      <c r="AO46" s="143"/>
      <c r="AP46" s="13">
        <f t="shared" si="7"/>
        <v>0</v>
      </c>
      <c r="AQ46" s="176"/>
      <c r="AR46" s="143"/>
      <c r="AS46" s="13">
        <f t="shared" si="8"/>
        <v>0</v>
      </c>
      <c r="AT46" s="176"/>
      <c r="AU46" s="143"/>
      <c r="AV46" s="13">
        <f t="shared" si="9"/>
        <v>0</v>
      </c>
      <c r="AW46" s="176"/>
      <c r="AX46" s="143"/>
      <c r="AY46" s="13">
        <f t="shared" si="10"/>
        <v>0</v>
      </c>
      <c r="AZ46" s="176"/>
      <c r="BA46" s="143"/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176"/>
      <c r="CN46" s="143"/>
      <c r="CO46" s="13">
        <f t="shared" si="22"/>
        <v>0</v>
      </c>
      <c r="CP46" s="176"/>
      <c r="CQ46" s="143"/>
      <c r="CR46" s="13">
        <f t="shared" si="33"/>
        <v>0</v>
      </c>
      <c r="CS46" s="176"/>
      <c r="CT46" s="143"/>
      <c r="CU46" s="14">
        <f t="shared" si="23"/>
        <v>0</v>
      </c>
      <c r="CV46" s="5">
        <f t="shared" si="36"/>
        <v>0</v>
      </c>
      <c r="CW46" s="4">
        <f t="shared" si="36"/>
        <v>0</v>
      </c>
      <c r="CX46" s="6">
        <f t="shared" si="25"/>
        <v>0</v>
      </c>
      <c r="CY46" s="162">
        <v>0</v>
      </c>
      <c r="CZ46" s="171">
        <f t="shared" si="26"/>
        <v>0</v>
      </c>
      <c r="DB46" s="2">
        <f t="shared" si="34"/>
        <v>0</v>
      </c>
      <c r="DC46" s="63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/>
      <c r="Z47" s="143"/>
      <c r="AA47" s="13">
        <f t="shared" si="27"/>
        <v>0</v>
      </c>
      <c r="AB47" s="176"/>
      <c r="AC47" s="143"/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>
        <v>6</v>
      </c>
      <c r="BJ47" s="143"/>
      <c r="BK47" s="13">
        <f t="shared" si="14"/>
        <v>6</v>
      </c>
      <c r="BL47" s="176"/>
      <c r="BM47" s="143">
        <v>2</v>
      </c>
      <c r="BN47" s="13">
        <f t="shared" si="15"/>
        <v>4</v>
      </c>
      <c r="BO47" s="176"/>
      <c r="BP47" s="143"/>
      <c r="BQ47" s="13">
        <f t="shared" si="16"/>
        <v>4</v>
      </c>
      <c r="BR47" s="176"/>
      <c r="BS47" s="143">
        <f>4</f>
        <v>4</v>
      </c>
      <c r="BT47" s="13">
        <f t="shared" si="17"/>
        <v>0</v>
      </c>
      <c r="BU47" s="176">
        <v>3</v>
      </c>
      <c r="BV47" s="143"/>
      <c r="BW47" s="13">
        <f t="shared" si="18"/>
        <v>3</v>
      </c>
      <c r="BX47" s="176"/>
      <c r="BY47" s="143"/>
      <c r="BZ47" s="13">
        <f t="shared" si="19"/>
        <v>3</v>
      </c>
      <c r="CA47" s="176"/>
      <c r="CB47" s="143">
        <v>3</v>
      </c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9</v>
      </c>
      <c r="CW47" s="4">
        <f t="shared" si="36"/>
        <v>9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5.5800000000000027</v>
      </c>
      <c r="G48" s="62"/>
      <c r="H48" s="143"/>
      <c r="I48" s="13">
        <f t="shared" si="0"/>
        <v>5.5800000000000027</v>
      </c>
      <c r="J48" s="62"/>
      <c r="K48" s="143">
        <f>0.7+0.3+0.1</f>
        <v>1.1000000000000001</v>
      </c>
      <c r="L48" s="13">
        <f t="shared" si="1"/>
        <v>4.4800000000000022</v>
      </c>
      <c r="M48" s="62"/>
      <c r="N48" s="143"/>
      <c r="O48" s="13">
        <f t="shared" si="2"/>
        <v>4.4800000000000022</v>
      </c>
      <c r="P48" s="62">
        <v>4</v>
      </c>
      <c r="Q48" s="143">
        <f>0.7</f>
        <v>0.7</v>
      </c>
      <c r="R48" s="30">
        <f t="shared" si="3"/>
        <v>7.780000000000002</v>
      </c>
      <c r="S48" s="62"/>
      <c r="T48" s="143">
        <f>2+0.1</f>
        <v>2.1</v>
      </c>
      <c r="U48" s="13">
        <f t="shared" si="4"/>
        <v>5.6800000000000015</v>
      </c>
      <c r="V48" s="62"/>
      <c r="W48" s="143">
        <f>0.6</f>
        <v>0.6</v>
      </c>
      <c r="X48" s="13">
        <f t="shared" si="5"/>
        <v>5.0800000000000018</v>
      </c>
      <c r="Y48" s="62"/>
      <c r="Z48" s="143"/>
      <c r="AA48" s="13">
        <f t="shared" si="27"/>
        <v>5.0800000000000018</v>
      </c>
      <c r="AB48" s="62"/>
      <c r="AC48" s="143"/>
      <c r="AD48" s="13">
        <f t="shared" si="28"/>
        <v>5.0800000000000018</v>
      </c>
      <c r="AE48" s="62"/>
      <c r="AF48" s="143">
        <f>0.5</f>
        <v>0.5</v>
      </c>
      <c r="AG48" s="13">
        <f t="shared" si="29"/>
        <v>4.5800000000000018</v>
      </c>
      <c r="AH48" s="62"/>
      <c r="AI48" s="143">
        <f>0.8</f>
        <v>0.8</v>
      </c>
      <c r="AJ48" s="13">
        <f t="shared" si="30"/>
        <v>3.780000000000002</v>
      </c>
      <c r="AK48" s="62"/>
      <c r="AL48" s="143">
        <f>0.4+0.8</f>
        <v>1.2000000000000002</v>
      </c>
      <c r="AM48" s="13">
        <f t="shared" si="6"/>
        <v>2.5800000000000018</v>
      </c>
      <c r="AN48" s="62">
        <v>4</v>
      </c>
      <c r="AO48" s="143">
        <f>1</f>
        <v>1</v>
      </c>
      <c r="AP48" s="13">
        <f t="shared" si="7"/>
        <v>5.5800000000000018</v>
      </c>
      <c r="AQ48" s="62"/>
      <c r="AR48" s="143">
        <v>1.2</v>
      </c>
      <c r="AS48" s="13">
        <f t="shared" si="8"/>
        <v>4.3800000000000017</v>
      </c>
      <c r="AT48" s="62"/>
      <c r="AU48" s="143"/>
      <c r="AV48" s="13">
        <f t="shared" si="9"/>
        <v>4.3800000000000017</v>
      </c>
      <c r="AW48" s="62">
        <v>4</v>
      </c>
      <c r="AX48" s="143"/>
      <c r="AY48" s="13">
        <f t="shared" si="10"/>
        <v>8.3800000000000026</v>
      </c>
      <c r="AZ48" s="62"/>
      <c r="BA48" s="143">
        <f>1.1</f>
        <v>1.1000000000000001</v>
      </c>
      <c r="BB48" s="13">
        <f t="shared" si="11"/>
        <v>7.2800000000000029</v>
      </c>
      <c r="BC48" s="62"/>
      <c r="BD48" s="143"/>
      <c r="BE48" s="13">
        <f t="shared" si="12"/>
        <v>7.2800000000000029</v>
      </c>
      <c r="BF48" s="62"/>
      <c r="BG48" s="143">
        <f>0.4+1.7</f>
        <v>2.1</v>
      </c>
      <c r="BH48" s="13">
        <f t="shared" si="13"/>
        <v>5.1800000000000033</v>
      </c>
      <c r="BI48" s="62"/>
      <c r="BJ48" s="143">
        <f>0.5</f>
        <v>0.5</v>
      </c>
      <c r="BK48" s="13">
        <f t="shared" si="14"/>
        <v>4.6800000000000033</v>
      </c>
      <c r="BL48" s="62"/>
      <c r="BM48" s="143">
        <f>1.7</f>
        <v>1.7</v>
      </c>
      <c r="BN48" s="13">
        <f t="shared" si="15"/>
        <v>2.9800000000000031</v>
      </c>
      <c r="BO48" s="62"/>
      <c r="BP48" s="143"/>
      <c r="BQ48" s="13">
        <f t="shared" si="16"/>
        <v>2.9800000000000031</v>
      </c>
      <c r="BR48" s="62">
        <v>4</v>
      </c>
      <c r="BS48" s="143">
        <f>0.4</f>
        <v>0.4</v>
      </c>
      <c r="BT48" s="13">
        <f t="shared" si="17"/>
        <v>6.5800000000000027</v>
      </c>
      <c r="BU48" s="62">
        <v>4</v>
      </c>
      <c r="BV48" s="143">
        <f>0.1+1.4+0.5+0.5</f>
        <v>2.5</v>
      </c>
      <c r="BW48" s="13">
        <f t="shared" si="18"/>
        <v>8.0800000000000018</v>
      </c>
      <c r="BX48" s="62"/>
      <c r="BY48" s="143">
        <f>0.4+0.4+0.4</f>
        <v>1.2000000000000002</v>
      </c>
      <c r="BZ48" s="13">
        <f t="shared" si="19"/>
        <v>6.8800000000000017</v>
      </c>
      <c r="CA48" s="62"/>
      <c r="CB48" s="143">
        <f>1.4+0.5+0.4</f>
        <v>2.2999999999999998</v>
      </c>
      <c r="CC48" s="13">
        <f t="shared" si="20"/>
        <v>4.5800000000000018</v>
      </c>
      <c r="CD48" s="62"/>
      <c r="CE48" s="143">
        <f>1</f>
        <v>1</v>
      </c>
      <c r="CF48" s="13">
        <f t="shared" si="21"/>
        <v>3.5800000000000018</v>
      </c>
      <c r="CG48" s="62"/>
      <c r="CH48" s="143">
        <f>1.6</f>
        <v>1.6</v>
      </c>
      <c r="CI48" s="13">
        <f t="shared" si="31"/>
        <v>1.9800000000000018</v>
      </c>
      <c r="CJ48" s="62">
        <v>8</v>
      </c>
      <c r="CK48" s="143"/>
      <c r="CL48" s="13">
        <f t="shared" si="32"/>
        <v>9.9800000000000022</v>
      </c>
      <c r="CM48" s="62"/>
      <c r="CN48" s="143">
        <f>1.6+0.1</f>
        <v>1.7000000000000002</v>
      </c>
      <c r="CO48" s="13">
        <f t="shared" si="22"/>
        <v>8.2800000000000011</v>
      </c>
      <c r="CP48" s="62"/>
      <c r="CQ48" s="143">
        <f>4+0.5</f>
        <v>4.5</v>
      </c>
      <c r="CR48" s="13">
        <f t="shared" si="33"/>
        <v>3.7800000000000011</v>
      </c>
      <c r="CS48" s="62"/>
      <c r="CT48" s="143"/>
      <c r="CU48" s="14">
        <f t="shared" si="23"/>
        <v>3.7800000000000011</v>
      </c>
      <c r="CV48" s="5">
        <f t="shared" si="36"/>
        <v>28</v>
      </c>
      <c r="CW48" s="4">
        <f t="shared" si="36"/>
        <v>29.8</v>
      </c>
      <c r="CX48" s="6">
        <f t="shared" si="25"/>
        <v>3.7800000000000011</v>
      </c>
      <c r="CY48" s="162">
        <v>800</v>
      </c>
      <c r="CZ48" s="171">
        <f t="shared" si="26"/>
        <v>3024.0000000000009</v>
      </c>
      <c r="DB48" s="2">
        <f t="shared" si="34"/>
        <v>3.7800000000000011</v>
      </c>
      <c r="DC48" s="61"/>
      <c r="DD48" s="143"/>
      <c r="DE48" s="149">
        <f t="shared" si="35"/>
        <v>3.7800000000000011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6</v>
      </c>
      <c r="G49" s="62">
        <v>20</v>
      </c>
      <c r="H49" s="143"/>
      <c r="I49" s="13">
        <f t="shared" si="0"/>
        <v>26</v>
      </c>
      <c r="J49" s="62"/>
      <c r="K49" s="143">
        <v>3</v>
      </c>
      <c r="L49" s="13">
        <f t="shared" si="1"/>
        <v>23</v>
      </c>
      <c r="M49" s="62"/>
      <c r="N49" s="143"/>
      <c r="O49" s="13">
        <f t="shared" si="2"/>
        <v>23</v>
      </c>
      <c r="P49" s="62"/>
      <c r="Q49" s="143">
        <v>2</v>
      </c>
      <c r="R49" s="30">
        <f t="shared" si="3"/>
        <v>21</v>
      </c>
      <c r="S49" s="62"/>
      <c r="T49" s="143">
        <v>2</v>
      </c>
      <c r="U49" s="13">
        <f t="shared" si="4"/>
        <v>19</v>
      </c>
      <c r="V49" s="62"/>
      <c r="W49" s="143">
        <v>2</v>
      </c>
      <c r="X49" s="13">
        <f t="shared" si="5"/>
        <v>17</v>
      </c>
      <c r="Y49" s="62"/>
      <c r="Z49" s="143"/>
      <c r="AA49" s="13">
        <f t="shared" si="27"/>
        <v>17</v>
      </c>
      <c r="AB49" s="62"/>
      <c r="AC49" s="143">
        <v>2</v>
      </c>
      <c r="AD49" s="13">
        <f t="shared" si="28"/>
        <v>15</v>
      </c>
      <c r="AE49" s="62"/>
      <c r="AF49" s="143">
        <v>4</v>
      </c>
      <c r="AG49" s="13">
        <f t="shared" si="29"/>
        <v>11</v>
      </c>
      <c r="AH49" s="62"/>
      <c r="AI49" s="143"/>
      <c r="AJ49" s="13">
        <f t="shared" si="30"/>
        <v>11</v>
      </c>
      <c r="AK49" s="62"/>
      <c r="AL49" s="143">
        <v>4</v>
      </c>
      <c r="AM49" s="13">
        <f t="shared" si="6"/>
        <v>7</v>
      </c>
      <c r="AN49" s="62">
        <v>20</v>
      </c>
      <c r="AO49" s="143">
        <v>2</v>
      </c>
      <c r="AP49" s="13">
        <f t="shared" si="7"/>
        <v>25</v>
      </c>
      <c r="AQ49" s="62"/>
      <c r="AR49" s="143">
        <v>1</v>
      </c>
      <c r="AS49" s="13">
        <f t="shared" si="8"/>
        <v>24</v>
      </c>
      <c r="AT49" s="62"/>
      <c r="AU49" s="143"/>
      <c r="AV49" s="13">
        <f t="shared" si="9"/>
        <v>24</v>
      </c>
      <c r="AW49" s="62"/>
      <c r="AX49" s="143">
        <v>1</v>
      </c>
      <c r="AY49" s="13">
        <f t="shared" si="10"/>
        <v>23</v>
      </c>
      <c r="AZ49" s="62"/>
      <c r="BA49" s="143">
        <v>5</v>
      </c>
      <c r="BB49" s="13">
        <f t="shared" si="11"/>
        <v>18</v>
      </c>
      <c r="BC49" s="62"/>
      <c r="BD49" s="143"/>
      <c r="BE49" s="13">
        <f t="shared" si="12"/>
        <v>18</v>
      </c>
      <c r="BF49" s="62"/>
      <c r="BG49" s="143">
        <v>2</v>
      </c>
      <c r="BH49" s="13">
        <f t="shared" si="13"/>
        <v>16</v>
      </c>
      <c r="BI49" s="62"/>
      <c r="BJ49" s="143">
        <v>1</v>
      </c>
      <c r="BK49" s="13">
        <f t="shared" si="14"/>
        <v>15</v>
      </c>
      <c r="BL49" s="62"/>
      <c r="BM49" s="143">
        <v>4</v>
      </c>
      <c r="BN49" s="13">
        <f t="shared" si="15"/>
        <v>11</v>
      </c>
      <c r="BO49" s="62"/>
      <c r="BP49" s="143"/>
      <c r="BQ49" s="13">
        <f t="shared" si="16"/>
        <v>11</v>
      </c>
      <c r="BR49" s="62"/>
      <c r="BS49" s="143">
        <v>1</v>
      </c>
      <c r="BT49" s="13">
        <f t="shared" si="17"/>
        <v>10</v>
      </c>
      <c r="BU49" s="62"/>
      <c r="BV49" s="143">
        <v>2</v>
      </c>
      <c r="BW49" s="13">
        <f t="shared" si="18"/>
        <v>8</v>
      </c>
      <c r="BX49" s="62"/>
      <c r="BY49" s="143"/>
      <c r="BZ49" s="13">
        <f t="shared" si="19"/>
        <v>8</v>
      </c>
      <c r="CA49" s="62">
        <v>10</v>
      </c>
      <c r="CB49" s="143">
        <v>3</v>
      </c>
      <c r="CC49" s="13">
        <f t="shared" si="20"/>
        <v>15</v>
      </c>
      <c r="CD49" s="62"/>
      <c r="CE49" s="143">
        <v>2</v>
      </c>
      <c r="CF49" s="13">
        <f t="shared" si="21"/>
        <v>13</v>
      </c>
      <c r="CG49" s="62"/>
      <c r="CH49" s="143">
        <v>6</v>
      </c>
      <c r="CI49" s="13">
        <f t="shared" si="31"/>
        <v>7</v>
      </c>
      <c r="CJ49" s="62">
        <v>10</v>
      </c>
      <c r="CK49" s="143"/>
      <c r="CL49" s="13">
        <f t="shared" si="32"/>
        <v>17</v>
      </c>
      <c r="CM49" s="62"/>
      <c r="CN49" s="143">
        <v>4</v>
      </c>
      <c r="CO49" s="13">
        <f t="shared" si="22"/>
        <v>13</v>
      </c>
      <c r="CP49" s="62"/>
      <c r="CQ49" s="143">
        <v>5</v>
      </c>
      <c r="CR49" s="13">
        <f t="shared" si="33"/>
        <v>8</v>
      </c>
      <c r="CS49" s="62"/>
      <c r="CT49" s="143"/>
      <c r="CU49" s="14">
        <f t="shared" si="23"/>
        <v>8</v>
      </c>
      <c r="CV49" s="5">
        <f t="shared" si="36"/>
        <v>60</v>
      </c>
      <c r="CW49" s="4">
        <f t="shared" si="36"/>
        <v>58</v>
      </c>
      <c r="CX49" s="6">
        <f t="shared" si="25"/>
        <v>8</v>
      </c>
      <c r="CY49" s="162">
        <v>872</v>
      </c>
      <c r="CZ49" s="171">
        <f t="shared" si="26"/>
        <v>6976</v>
      </c>
      <c r="DB49" s="2">
        <f t="shared" si="34"/>
        <v>8</v>
      </c>
      <c r="DC49" s="61"/>
      <c r="DD49" s="143"/>
      <c r="DE49" s="149">
        <f t="shared" si="35"/>
        <v>8</v>
      </c>
    </row>
    <row r="50" spans="1:109" ht="15.75" customHeight="1">
      <c r="A50" s="33"/>
      <c r="B50" s="3" t="s">
        <v>264</v>
      </c>
      <c r="C50" s="104" t="s">
        <v>27</v>
      </c>
      <c r="D50" s="34"/>
      <c r="E50" s="34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3" t="s">
        <v>101</v>
      </c>
      <c r="C51" s="104" t="s">
        <v>27</v>
      </c>
      <c r="D51" s="34"/>
      <c r="E51" s="34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10</v>
      </c>
      <c r="G53" s="62">
        <v>25</v>
      </c>
      <c r="H53" s="143">
        <v>10</v>
      </c>
      <c r="I53" s="13">
        <f t="shared" si="0"/>
        <v>25</v>
      </c>
      <c r="J53" s="62">
        <v>8</v>
      </c>
      <c r="K53" s="143">
        <v>8</v>
      </c>
      <c r="L53" s="13">
        <f t="shared" si="1"/>
        <v>25</v>
      </c>
      <c r="M53" s="62"/>
      <c r="N53" s="143"/>
      <c r="O53" s="13">
        <f t="shared" si="2"/>
        <v>25</v>
      </c>
      <c r="P53" s="62">
        <v>10</v>
      </c>
      <c r="Q53" s="143">
        <v>10</v>
      </c>
      <c r="R53" s="13">
        <f t="shared" si="3"/>
        <v>25</v>
      </c>
      <c r="S53" s="62">
        <v>9</v>
      </c>
      <c r="T53" s="143">
        <v>9</v>
      </c>
      <c r="U53" s="13">
        <f t="shared" si="4"/>
        <v>25</v>
      </c>
      <c r="V53" s="62">
        <v>23</v>
      </c>
      <c r="W53" s="143">
        <v>23</v>
      </c>
      <c r="X53" s="13">
        <f t="shared" si="5"/>
        <v>25</v>
      </c>
      <c r="Y53" s="62"/>
      <c r="Z53" s="143"/>
      <c r="AA53" s="13">
        <f t="shared" si="27"/>
        <v>25</v>
      </c>
      <c r="AB53" s="62">
        <v>9</v>
      </c>
      <c r="AC53" s="143">
        <v>9</v>
      </c>
      <c r="AD53" s="13">
        <f t="shared" si="28"/>
        <v>25</v>
      </c>
      <c r="AE53" s="62">
        <v>16</v>
      </c>
      <c r="AF53" s="143">
        <v>16</v>
      </c>
      <c r="AG53" s="13">
        <f t="shared" si="29"/>
        <v>25</v>
      </c>
      <c r="AH53" s="62"/>
      <c r="AI53" s="143"/>
      <c r="AJ53" s="13">
        <f t="shared" si="30"/>
        <v>25</v>
      </c>
      <c r="AK53" s="62">
        <v>7</v>
      </c>
      <c r="AL53" s="143">
        <v>12</v>
      </c>
      <c r="AM53" s="13">
        <f t="shared" si="6"/>
        <v>20</v>
      </c>
      <c r="AN53" s="62">
        <v>12</v>
      </c>
      <c r="AO53" s="143">
        <v>7</v>
      </c>
      <c r="AP53" s="13">
        <f t="shared" si="7"/>
        <v>25</v>
      </c>
      <c r="AQ53" s="62">
        <v>14</v>
      </c>
      <c r="AR53" s="143">
        <v>19</v>
      </c>
      <c r="AS53" s="13">
        <f t="shared" si="8"/>
        <v>20</v>
      </c>
      <c r="AT53" s="62"/>
      <c r="AU53" s="143"/>
      <c r="AV53" s="13">
        <f t="shared" si="9"/>
        <v>20</v>
      </c>
      <c r="AW53" s="62">
        <v>15</v>
      </c>
      <c r="AX53" s="143">
        <v>10</v>
      </c>
      <c r="AY53" s="13">
        <f t="shared" si="10"/>
        <v>25</v>
      </c>
      <c r="AZ53" s="62">
        <v>14</v>
      </c>
      <c r="BA53" s="143">
        <v>14</v>
      </c>
      <c r="BB53" s="13">
        <f t="shared" si="11"/>
        <v>25</v>
      </c>
      <c r="BC53" s="62"/>
      <c r="BD53" s="143"/>
      <c r="BE53" s="13">
        <f t="shared" si="12"/>
        <v>25</v>
      </c>
      <c r="BF53" s="62">
        <v>13</v>
      </c>
      <c r="BG53" s="143">
        <v>13</v>
      </c>
      <c r="BH53" s="13">
        <f t="shared" si="13"/>
        <v>25</v>
      </c>
      <c r="BI53" s="62">
        <v>10</v>
      </c>
      <c r="BJ53" s="143">
        <v>10</v>
      </c>
      <c r="BK53" s="13">
        <f t="shared" si="14"/>
        <v>25</v>
      </c>
      <c r="BL53" s="62">
        <v>20</v>
      </c>
      <c r="BM53" s="143">
        <v>20</v>
      </c>
      <c r="BN53" s="13">
        <f t="shared" si="15"/>
        <v>25</v>
      </c>
      <c r="BO53" s="62"/>
      <c r="BP53" s="143"/>
      <c r="BQ53" s="13">
        <f t="shared" si="16"/>
        <v>25</v>
      </c>
      <c r="BR53" s="62">
        <v>11</v>
      </c>
      <c r="BS53" s="143">
        <v>11</v>
      </c>
      <c r="BT53" s="13">
        <f t="shared" si="17"/>
        <v>25</v>
      </c>
      <c r="BU53" s="62">
        <f>25+1</f>
        <v>26</v>
      </c>
      <c r="BV53" s="143">
        <v>16</v>
      </c>
      <c r="BW53" s="13">
        <f t="shared" si="18"/>
        <v>35</v>
      </c>
      <c r="BX53" s="62"/>
      <c r="BY53" s="143"/>
      <c r="BZ53" s="13">
        <f t="shared" si="19"/>
        <v>35</v>
      </c>
      <c r="CA53" s="62">
        <v>7</v>
      </c>
      <c r="CB53" s="143">
        <v>17</v>
      </c>
      <c r="CC53" s="13">
        <f t="shared" si="20"/>
        <v>25</v>
      </c>
      <c r="CD53" s="62"/>
      <c r="CE53" s="143">
        <v>9</v>
      </c>
      <c r="CF53" s="13">
        <f t="shared" si="21"/>
        <v>16</v>
      </c>
      <c r="CG53" s="62">
        <v>25</v>
      </c>
      <c r="CH53" s="143">
        <v>16</v>
      </c>
      <c r="CI53" s="13">
        <f>CF53+CG53-CH53</f>
        <v>25</v>
      </c>
      <c r="CJ53" s="62">
        <v>30</v>
      </c>
      <c r="CK53" s="143"/>
      <c r="CL53" s="13">
        <f>CI53+CJ53-CK53</f>
        <v>55</v>
      </c>
      <c r="CM53" s="62">
        <f>31</f>
        <v>31</v>
      </c>
      <c r="CN53" s="143">
        <v>14</v>
      </c>
      <c r="CO53" s="13">
        <f t="shared" si="22"/>
        <v>72</v>
      </c>
      <c r="CP53" s="62">
        <v>25</v>
      </c>
      <c r="CQ53" s="143">
        <f>36</f>
        <v>36</v>
      </c>
      <c r="CR53" s="13">
        <f t="shared" si="33"/>
        <v>61</v>
      </c>
      <c r="CS53" s="62"/>
      <c r="CT53" s="143"/>
      <c r="CU53" s="14">
        <f t="shared" si="23"/>
        <v>61</v>
      </c>
      <c r="CV53" s="5">
        <f t="shared" si="36"/>
        <v>360</v>
      </c>
      <c r="CW53" s="4">
        <f t="shared" si="36"/>
        <v>309</v>
      </c>
      <c r="CX53" s="6">
        <f t="shared" si="25"/>
        <v>61</v>
      </c>
      <c r="CY53" s="162">
        <v>85</v>
      </c>
      <c r="CZ53" s="171">
        <f t="shared" si="26"/>
        <v>5185</v>
      </c>
      <c r="DB53" s="2">
        <f t="shared" si="34"/>
        <v>61</v>
      </c>
      <c r="DC53" s="61"/>
      <c r="DD53" s="143"/>
      <c r="DE53" s="149">
        <f t="shared" si="35"/>
        <v>61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>
        <v>3</v>
      </c>
      <c r="Q54" s="143"/>
      <c r="R54" s="30">
        <f t="shared" si="3"/>
        <v>3</v>
      </c>
      <c r="S54" s="62"/>
      <c r="T54" s="143">
        <v>3</v>
      </c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3</v>
      </c>
      <c r="CW54" s="4">
        <f t="shared" si="36"/>
        <v>3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6</v>
      </c>
      <c r="G55" s="62">
        <v>10</v>
      </c>
      <c r="H55" s="143">
        <v>6</v>
      </c>
      <c r="I55" s="13">
        <f t="shared" si="0"/>
        <v>10</v>
      </c>
      <c r="J55" s="62"/>
      <c r="K55" s="143"/>
      <c r="L55" s="13">
        <f t="shared" si="1"/>
        <v>10</v>
      </c>
      <c r="M55" s="62"/>
      <c r="N55" s="143"/>
      <c r="O55" s="13">
        <f t="shared" si="2"/>
        <v>10</v>
      </c>
      <c r="P55" s="62"/>
      <c r="Q55" s="143">
        <v>6</v>
      </c>
      <c r="R55" s="13">
        <f t="shared" si="3"/>
        <v>4</v>
      </c>
      <c r="S55" s="62"/>
      <c r="T55" s="143"/>
      <c r="U55" s="13">
        <f t="shared" si="4"/>
        <v>4</v>
      </c>
      <c r="V55" s="62"/>
      <c r="W55" s="143"/>
      <c r="X55" s="13">
        <f t="shared" si="5"/>
        <v>4</v>
      </c>
      <c r="Y55" s="62"/>
      <c r="Z55" s="143"/>
      <c r="AA55" s="13">
        <f t="shared" si="27"/>
        <v>4</v>
      </c>
      <c r="AB55" s="62"/>
      <c r="AC55" s="143"/>
      <c r="AD55" s="13">
        <f t="shared" si="28"/>
        <v>4</v>
      </c>
      <c r="AE55" s="62"/>
      <c r="AF55" s="143"/>
      <c r="AG55" s="13">
        <f t="shared" si="29"/>
        <v>4</v>
      </c>
      <c r="AH55" s="62"/>
      <c r="AI55" s="143"/>
      <c r="AJ55" s="13">
        <f t="shared" si="30"/>
        <v>4</v>
      </c>
      <c r="AK55" s="62"/>
      <c r="AL55" s="143"/>
      <c r="AM55" s="13">
        <f t="shared" si="6"/>
        <v>4</v>
      </c>
      <c r="AN55" s="62">
        <v>10</v>
      </c>
      <c r="AO55" s="143">
        <v>4</v>
      </c>
      <c r="AP55" s="13">
        <f t="shared" si="7"/>
        <v>10</v>
      </c>
      <c r="AQ55" s="62"/>
      <c r="AR55" s="143"/>
      <c r="AS55" s="13">
        <f t="shared" si="8"/>
        <v>10</v>
      </c>
      <c r="AT55" s="62"/>
      <c r="AU55" s="143"/>
      <c r="AV55" s="13">
        <f t="shared" si="9"/>
        <v>10</v>
      </c>
      <c r="AW55" s="62"/>
      <c r="AX55" s="143"/>
      <c r="AY55" s="13">
        <f t="shared" si="10"/>
        <v>10</v>
      </c>
      <c r="AZ55" s="62"/>
      <c r="BA55" s="143"/>
      <c r="BB55" s="13">
        <f t="shared" si="11"/>
        <v>10</v>
      </c>
      <c r="BC55" s="62"/>
      <c r="BD55" s="143"/>
      <c r="BE55" s="13">
        <f t="shared" si="12"/>
        <v>10</v>
      </c>
      <c r="BF55" s="62"/>
      <c r="BG55" s="143"/>
      <c r="BH55" s="13">
        <f t="shared" si="13"/>
        <v>10</v>
      </c>
      <c r="BI55" s="62"/>
      <c r="BJ55" s="143">
        <v>6</v>
      </c>
      <c r="BK55" s="13">
        <f t="shared" si="14"/>
        <v>4</v>
      </c>
      <c r="BL55" s="62"/>
      <c r="BM55" s="143"/>
      <c r="BN55" s="13">
        <f t="shared" si="15"/>
        <v>4</v>
      </c>
      <c r="BO55" s="62"/>
      <c r="BP55" s="143"/>
      <c r="BQ55" s="13">
        <f t="shared" si="16"/>
        <v>4</v>
      </c>
      <c r="BR55" s="62"/>
      <c r="BS55" s="143"/>
      <c r="BT55" s="13">
        <f t="shared" si="17"/>
        <v>4</v>
      </c>
      <c r="BU55" s="62"/>
      <c r="BV55" s="143"/>
      <c r="BW55" s="13">
        <f t="shared" si="18"/>
        <v>4</v>
      </c>
      <c r="BX55" s="62"/>
      <c r="BY55" s="143"/>
      <c r="BZ55" s="13">
        <f t="shared" si="19"/>
        <v>4</v>
      </c>
      <c r="CA55" s="62">
        <v>10</v>
      </c>
      <c r="CB55" s="143"/>
      <c r="CC55" s="13">
        <f t="shared" si="20"/>
        <v>14</v>
      </c>
      <c r="CD55" s="62"/>
      <c r="CE55" s="143">
        <v>7</v>
      </c>
      <c r="CF55" s="13">
        <f t="shared" si="21"/>
        <v>7</v>
      </c>
      <c r="CG55" s="62"/>
      <c r="CH55" s="143"/>
      <c r="CI55" s="13">
        <f t="shared" si="31"/>
        <v>7</v>
      </c>
      <c r="CJ55" s="62">
        <v>10</v>
      </c>
      <c r="CK55" s="143"/>
      <c r="CL55" s="13">
        <f t="shared" si="32"/>
        <v>17</v>
      </c>
      <c r="CM55" s="62"/>
      <c r="CN55" s="143"/>
      <c r="CO55" s="13">
        <f t="shared" si="22"/>
        <v>17</v>
      </c>
      <c r="CP55" s="62"/>
      <c r="CQ55" s="143">
        <v>7</v>
      </c>
      <c r="CR55" s="13">
        <f t="shared" si="33"/>
        <v>10</v>
      </c>
      <c r="CS55" s="62"/>
      <c r="CT55" s="143"/>
      <c r="CU55" s="14">
        <f t="shared" si="23"/>
        <v>10</v>
      </c>
      <c r="CV55" s="5">
        <f t="shared" si="36"/>
        <v>40</v>
      </c>
      <c r="CW55" s="4">
        <f t="shared" si="36"/>
        <v>36</v>
      </c>
      <c r="CX55" s="6">
        <f t="shared" si="25"/>
        <v>10</v>
      </c>
      <c r="CY55" s="162">
        <v>120</v>
      </c>
      <c r="CZ55" s="171">
        <f t="shared" si="26"/>
        <v>1200</v>
      </c>
      <c r="DB55" s="2">
        <f t="shared" si="34"/>
        <v>10</v>
      </c>
      <c r="DC55" s="61"/>
      <c r="DD55" s="143"/>
      <c r="DE55" s="149">
        <f t="shared" si="35"/>
        <v>10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>
        <f>-1+2+1</f>
        <v>2</v>
      </c>
      <c r="T56" s="143"/>
      <c r="U56" s="13">
        <f t="shared" si="4"/>
        <v>2</v>
      </c>
      <c r="V56" s="62"/>
      <c r="W56" s="143"/>
      <c r="X56" s="13">
        <f t="shared" si="5"/>
        <v>2</v>
      </c>
      <c r="Y56" s="62"/>
      <c r="Z56" s="143"/>
      <c r="AA56" s="13">
        <f t="shared" si="27"/>
        <v>2</v>
      </c>
      <c r="AB56" s="62"/>
      <c r="AC56" s="143"/>
      <c r="AD56" s="13">
        <f t="shared" si="28"/>
        <v>2</v>
      </c>
      <c r="AE56" s="62"/>
      <c r="AF56" s="143">
        <v>1</v>
      </c>
      <c r="AG56" s="13">
        <f t="shared" si="29"/>
        <v>1</v>
      </c>
      <c r="AH56" s="62"/>
      <c r="AI56" s="143"/>
      <c r="AJ56" s="13">
        <f t="shared" si="30"/>
        <v>1</v>
      </c>
      <c r="AK56" s="62"/>
      <c r="AL56" s="143">
        <v>1</v>
      </c>
      <c r="AM56" s="13">
        <f t="shared" si="6"/>
        <v>0</v>
      </c>
      <c r="AN56" s="62">
        <f>-1+2</f>
        <v>1</v>
      </c>
      <c r="AO56" s="143"/>
      <c r="AP56" s="13">
        <f t="shared" si="7"/>
        <v>1</v>
      </c>
      <c r="AQ56" s="62">
        <v>1</v>
      </c>
      <c r="AR56" s="143">
        <v>1</v>
      </c>
      <c r="AS56" s="13">
        <f t="shared" si="8"/>
        <v>1</v>
      </c>
      <c r="AT56" s="62"/>
      <c r="AU56" s="143"/>
      <c r="AV56" s="13">
        <f t="shared" si="9"/>
        <v>1</v>
      </c>
      <c r="AW56" s="62"/>
      <c r="AX56" s="143">
        <v>1</v>
      </c>
      <c r="AY56" s="13">
        <f t="shared" si="10"/>
        <v>0</v>
      </c>
      <c r="AZ56" s="62">
        <v>1</v>
      </c>
      <c r="BA56" s="143"/>
      <c r="BB56" s="13">
        <f t="shared" si="11"/>
        <v>1</v>
      </c>
      <c r="BC56" s="62"/>
      <c r="BD56" s="143"/>
      <c r="BE56" s="13">
        <f t="shared" si="12"/>
        <v>1</v>
      </c>
      <c r="BF56" s="62">
        <f>-1+2</f>
        <v>1</v>
      </c>
      <c r="BG56" s="143">
        <v>1</v>
      </c>
      <c r="BH56" s="13">
        <f t="shared" si="13"/>
        <v>1</v>
      </c>
      <c r="BI56" s="62"/>
      <c r="BJ56" s="143"/>
      <c r="BK56" s="13">
        <f t="shared" si="14"/>
        <v>1</v>
      </c>
      <c r="BL56" s="62">
        <f>-1+2</f>
        <v>1</v>
      </c>
      <c r="BM56" s="143">
        <v>1</v>
      </c>
      <c r="BN56" s="13">
        <f t="shared" si="15"/>
        <v>1</v>
      </c>
      <c r="BO56" s="62"/>
      <c r="BP56" s="143"/>
      <c r="BQ56" s="13">
        <f t="shared" si="16"/>
        <v>1</v>
      </c>
      <c r="BR56" s="62">
        <v>1</v>
      </c>
      <c r="BS56" s="143">
        <v>1</v>
      </c>
      <c r="BT56" s="13">
        <f t="shared" si="17"/>
        <v>1</v>
      </c>
      <c r="BU56" s="62"/>
      <c r="BV56" s="143"/>
      <c r="BW56" s="13">
        <f t="shared" si="18"/>
        <v>1</v>
      </c>
      <c r="BX56" s="62"/>
      <c r="BY56" s="143"/>
      <c r="BZ56" s="13">
        <f t="shared" si="19"/>
        <v>1</v>
      </c>
      <c r="CA56" s="62">
        <v>1</v>
      </c>
      <c r="CB56" s="143">
        <v>1</v>
      </c>
      <c r="CC56" s="13">
        <f t="shared" si="20"/>
        <v>1</v>
      </c>
      <c r="CD56" s="62">
        <v>2</v>
      </c>
      <c r="CE56" s="143"/>
      <c r="CF56" s="13">
        <f t="shared" si="21"/>
        <v>3</v>
      </c>
      <c r="CG56" s="62">
        <v>2</v>
      </c>
      <c r="CH56" s="143">
        <v>3</v>
      </c>
      <c r="CI56" s="13">
        <f t="shared" si="31"/>
        <v>2</v>
      </c>
      <c r="CJ56" s="62">
        <v>4</v>
      </c>
      <c r="CK56" s="143"/>
      <c r="CL56" s="13">
        <f t="shared" si="32"/>
        <v>6</v>
      </c>
      <c r="CM56" s="62">
        <v>3</v>
      </c>
      <c r="CN56" s="143">
        <v>2</v>
      </c>
      <c r="CO56" s="13">
        <f t="shared" si="22"/>
        <v>7</v>
      </c>
      <c r="CP56" s="62"/>
      <c r="CQ56" s="143">
        <v>4</v>
      </c>
      <c r="CR56" s="13">
        <f t="shared" si="33"/>
        <v>3</v>
      </c>
      <c r="CS56" s="62"/>
      <c r="CT56" s="143"/>
      <c r="CU56" s="14">
        <f t="shared" si="23"/>
        <v>3</v>
      </c>
      <c r="CV56" s="5">
        <f t="shared" si="36"/>
        <v>20</v>
      </c>
      <c r="CW56" s="4">
        <f t="shared" si="36"/>
        <v>17</v>
      </c>
      <c r="CX56" s="6">
        <f t="shared" si="25"/>
        <v>3</v>
      </c>
      <c r="CY56" s="162">
        <v>480</v>
      </c>
      <c r="CZ56" s="171">
        <f t="shared" si="26"/>
        <v>1440</v>
      </c>
      <c r="DB56" s="2">
        <f t="shared" si="34"/>
        <v>3</v>
      </c>
      <c r="DC56" s="61"/>
      <c r="DD56" s="143"/>
      <c r="DE56" s="149">
        <f t="shared" si="35"/>
        <v>3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7.4999999999999991</v>
      </c>
      <c r="G58" s="62"/>
      <c r="H58" s="143"/>
      <c r="I58" s="13">
        <f t="shared" si="0"/>
        <v>7.4999999999999991</v>
      </c>
      <c r="J58" s="62"/>
      <c r="K58" s="143">
        <f>1.1</f>
        <v>1.1000000000000001</v>
      </c>
      <c r="L58" s="13">
        <f t="shared" si="1"/>
        <v>6.3999999999999986</v>
      </c>
      <c r="M58" s="62"/>
      <c r="N58" s="143"/>
      <c r="O58" s="13">
        <f t="shared" si="2"/>
        <v>6.3999999999999986</v>
      </c>
      <c r="P58" s="62"/>
      <c r="Q58" s="143"/>
      <c r="R58" s="13">
        <f t="shared" si="3"/>
        <v>6.3999999999999986</v>
      </c>
      <c r="S58" s="62"/>
      <c r="T58" s="143"/>
      <c r="U58" s="13">
        <f t="shared" si="4"/>
        <v>6.3999999999999986</v>
      </c>
      <c r="V58" s="62"/>
      <c r="W58" s="143"/>
      <c r="X58" s="13">
        <f t="shared" si="5"/>
        <v>6.3999999999999986</v>
      </c>
      <c r="Y58" s="62"/>
      <c r="Z58" s="143"/>
      <c r="AA58" s="13">
        <f t="shared" si="27"/>
        <v>6.3999999999999986</v>
      </c>
      <c r="AB58" s="62">
        <v>10</v>
      </c>
      <c r="AC58" s="143">
        <f>1.9+4.7</f>
        <v>6.6</v>
      </c>
      <c r="AD58" s="13">
        <f t="shared" si="28"/>
        <v>9.7999999999999989</v>
      </c>
      <c r="AE58" s="62"/>
      <c r="AF58" s="143">
        <f>1.1+1+0.9</f>
        <v>3</v>
      </c>
      <c r="AG58" s="13">
        <f t="shared" si="29"/>
        <v>6.7999999999999989</v>
      </c>
      <c r="AH58" s="62"/>
      <c r="AI58" s="143"/>
      <c r="AJ58" s="13">
        <f t="shared" si="30"/>
        <v>6.7999999999999989</v>
      </c>
      <c r="AK58" s="62"/>
      <c r="AL58" s="143"/>
      <c r="AM58" s="13">
        <f t="shared" si="6"/>
        <v>6.7999999999999989</v>
      </c>
      <c r="AN58" s="62">
        <v>10</v>
      </c>
      <c r="AO58" s="143">
        <f>0.4</f>
        <v>0.4</v>
      </c>
      <c r="AP58" s="13">
        <f t="shared" si="7"/>
        <v>16.399999999999999</v>
      </c>
      <c r="AQ58" s="62"/>
      <c r="AR58" s="143">
        <f>2.1</f>
        <v>2.1</v>
      </c>
      <c r="AS58" s="13">
        <f t="shared" si="8"/>
        <v>14.299999999999999</v>
      </c>
      <c r="AT58" s="62"/>
      <c r="AU58" s="143"/>
      <c r="AV58" s="13">
        <f t="shared" si="9"/>
        <v>14.299999999999999</v>
      </c>
      <c r="AW58" s="62"/>
      <c r="AX58" s="143">
        <f>2.1</f>
        <v>2.1</v>
      </c>
      <c r="AY58" s="13">
        <f t="shared" si="10"/>
        <v>12.2</v>
      </c>
      <c r="AZ58" s="62">
        <v>10</v>
      </c>
      <c r="BA58" s="143">
        <f>2.1+1.1</f>
        <v>3.2</v>
      </c>
      <c r="BB58" s="13">
        <f t="shared" si="11"/>
        <v>19</v>
      </c>
      <c r="BC58" s="62"/>
      <c r="BD58" s="143"/>
      <c r="BE58" s="13">
        <f t="shared" si="12"/>
        <v>19</v>
      </c>
      <c r="BF58" s="62"/>
      <c r="BG58" s="143">
        <f>1.2+1.5+1.7</f>
        <v>4.4000000000000004</v>
      </c>
      <c r="BH58" s="13">
        <f t="shared" si="13"/>
        <v>14.6</v>
      </c>
      <c r="BI58" s="62"/>
      <c r="BJ58" s="143">
        <f>0.2</f>
        <v>0.2</v>
      </c>
      <c r="BK58" s="13">
        <f t="shared" si="14"/>
        <v>14.4</v>
      </c>
      <c r="BL58" s="62"/>
      <c r="BM58" s="143"/>
      <c r="BN58" s="13">
        <f t="shared" si="15"/>
        <v>14.4</v>
      </c>
      <c r="BO58" s="62"/>
      <c r="BP58" s="143"/>
      <c r="BQ58" s="13">
        <f t="shared" si="16"/>
        <v>14.4</v>
      </c>
      <c r="BR58" s="62"/>
      <c r="BS58" s="143">
        <f>1.9+2.5+2.5</f>
        <v>6.9</v>
      </c>
      <c r="BT58" s="13">
        <f t="shared" si="17"/>
        <v>7.5</v>
      </c>
      <c r="BU58" s="62">
        <v>10</v>
      </c>
      <c r="BV58" s="143">
        <v>2.5</v>
      </c>
      <c r="BW58" s="13">
        <f t="shared" si="18"/>
        <v>15</v>
      </c>
      <c r="BX58" s="62"/>
      <c r="BY58" s="143">
        <f>1.7+1.7</f>
        <v>3.4</v>
      </c>
      <c r="BZ58" s="13">
        <f t="shared" si="19"/>
        <v>11.6</v>
      </c>
      <c r="CA58" s="62"/>
      <c r="CB58" s="143">
        <f>1.4+1.9+3.3</f>
        <v>6.6</v>
      </c>
      <c r="CC58" s="13">
        <f t="shared" si="20"/>
        <v>5</v>
      </c>
      <c r="CD58" s="62"/>
      <c r="CE58" s="143">
        <f>0.4</f>
        <v>0.4</v>
      </c>
      <c r="CF58" s="13">
        <f t="shared" si="21"/>
        <v>4.5999999999999996</v>
      </c>
      <c r="CG58" s="62"/>
      <c r="CH58" s="143"/>
      <c r="CI58" s="13">
        <f t="shared" si="31"/>
        <v>4.5999999999999996</v>
      </c>
      <c r="CJ58" s="62"/>
      <c r="CK58" s="143"/>
      <c r="CL58" s="13">
        <f t="shared" si="32"/>
        <v>4.5999999999999996</v>
      </c>
      <c r="CM58" s="62"/>
      <c r="CN58" s="143"/>
      <c r="CO58" s="13">
        <f t="shared" si="22"/>
        <v>4.5999999999999996</v>
      </c>
      <c r="CP58" s="62"/>
      <c r="CQ58" s="143"/>
      <c r="CR58" s="13">
        <f t="shared" si="33"/>
        <v>4.5999999999999996</v>
      </c>
      <c r="CS58" s="62"/>
      <c r="CT58" s="143"/>
      <c r="CU58" s="14">
        <f t="shared" si="23"/>
        <v>4.5999999999999996</v>
      </c>
      <c r="CV58" s="5">
        <f t="shared" si="36"/>
        <v>40</v>
      </c>
      <c r="CW58" s="4">
        <f t="shared" si="36"/>
        <v>42.9</v>
      </c>
      <c r="CX58" s="6">
        <f t="shared" si="25"/>
        <v>4.5999999999999996</v>
      </c>
      <c r="CY58" s="162">
        <v>550</v>
      </c>
      <c r="CZ58" s="171">
        <f t="shared" si="26"/>
        <v>2530</v>
      </c>
      <c r="DB58" s="2">
        <f t="shared" si="34"/>
        <v>4.5999999999999996</v>
      </c>
      <c r="DC58" s="61"/>
      <c r="DD58" s="143"/>
      <c r="DE58" s="149">
        <f t="shared" si="35"/>
        <v>4.5999999999999996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45</v>
      </c>
      <c r="G59" s="62">
        <v>30</v>
      </c>
      <c r="H59" s="143">
        <f>2+5+20</f>
        <v>27</v>
      </c>
      <c r="I59" s="13">
        <f t="shared" si="0"/>
        <v>48</v>
      </c>
      <c r="J59" s="62">
        <v>40</v>
      </c>
      <c r="K59" s="143">
        <f>3+9+30</f>
        <v>42</v>
      </c>
      <c r="L59" s="13">
        <f t="shared" si="1"/>
        <v>46</v>
      </c>
      <c r="M59" s="62"/>
      <c r="N59" s="143"/>
      <c r="O59" s="13">
        <f t="shared" si="2"/>
        <v>46</v>
      </c>
      <c r="P59" s="62">
        <v>30</v>
      </c>
      <c r="Q59" s="143">
        <f>2+7+16</f>
        <v>25</v>
      </c>
      <c r="R59" s="30">
        <f t="shared" si="3"/>
        <v>51</v>
      </c>
      <c r="S59" s="62">
        <v>40</v>
      </c>
      <c r="T59" s="143">
        <f>3+7+14</f>
        <v>24</v>
      </c>
      <c r="U59" s="13">
        <f t="shared" si="4"/>
        <v>67</v>
      </c>
      <c r="V59" s="62">
        <v>30</v>
      </c>
      <c r="W59" s="143">
        <f>3+13+38</f>
        <v>54</v>
      </c>
      <c r="X59" s="13">
        <f t="shared" si="5"/>
        <v>43</v>
      </c>
      <c r="Y59" s="62"/>
      <c r="Z59" s="143"/>
      <c r="AA59" s="13">
        <f t="shared" si="27"/>
        <v>43</v>
      </c>
      <c r="AB59" s="62">
        <v>30</v>
      </c>
      <c r="AC59" s="143">
        <f>1+1+2+4+16</f>
        <v>24</v>
      </c>
      <c r="AD59" s="13">
        <f t="shared" si="28"/>
        <v>49</v>
      </c>
      <c r="AE59" s="62">
        <v>30</v>
      </c>
      <c r="AF59" s="143">
        <f>3+1+12+33</f>
        <v>49</v>
      </c>
      <c r="AG59" s="13">
        <f t="shared" si="29"/>
        <v>30</v>
      </c>
      <c r="AH59" s="62"/>
      <c r="AI59" s="143"/>
      <c r="AJ59" s="13">
        <f t="shared" si="30"/>
        <v>30</v>
      </c>
      <c r="AK59" s="62">
        <v>30</v>
      </c>
      <c r="AL59" s="143">
        <f>5+1+18</f>
        <v>24</v>
      </c>
      <c r="AM59" s="13">
        <f t="shared" si="6"/>
        <v>36</v>
      </c>
      <c r="AN59" s="62">
        <v>40</v>
      </c>
      <c r="AO59" s="143">
        <f>2+1+16</f>
        <v>19</v>
      </c>
      <c r="AP59" s="13">
        <f t="shared" si="7"/>
        <v>57</v>
      </c>
      <c r="AQ59" s="62">
        <v>30</v>
      </c>
      <c r="AR59" s="143">
        <f>3+12+39</f>
        <v>54</v>
      </c>
      <c r="AS59" s="13">
        <f t="shared" si="8"/>
        <v>33</v>
      </c>
      <c r="AT59" s="62"/>
      <c r="AU59" s="143"/>
      <c r="AV59" s="13">
        <f t="shared" si="9"/>
        <v>33</v>
      </c>
      <c r="AW59" s="62">
        <v>40</v>
      </c>
      <c r="AX59" s="143">
        <f>2+6+19</f>
        <v>27</v>
      </c>
      <c r="AY59" s="13">
        <f t="shared" si="10"/>
        <v>46</v>
      </c>
      <c r="AZ59" s="62">
        <v>30</v>
      </c>
      <c r="BA59" s="143">
        <f>4+1+1+11+30</f>
        <v>47</v>
      </c>
      <c r="BB59" s="13">
        <f t="shared" si="11"/>
        <v>29</v>
      </c>
      <c r="BC59" s="62">
        <v>10</v>
      </c>
      <c r="BD59" s="143"/>
      <c r="BE59" s="13">
        <f t="shared" si="12"/>
        <v>39</v>
      </c>
      <c r="BF59" s="62">
        <v>30</v>
      </c>
      <c r="BG59" s="143">
        <f>9+12</f>
        <v>21</v>
      </c>
      <c r="BH59" s="13">
        <f t="shared" si="13"/>
        <v>48</v>
      </c>
      <c r="BI59" s="62">
        <v>40</v>
      </c>
      <c r="BJ59" s="143">
        <f>2+4+19</f>
        <v>25</v>
      </c>
      <c r="BK59" s="13">
        <f t="shared" si="14"/>
        <v>63</v>
      </c>
      <c r="BL59" s="62">
        <v>30</v>
      </c>
      <c r="BM59" s="143">
        <f>3+16+34</f>
        <v>53</v>
      </c>
      <c r="BN59" s="13">
        <f t="shared" si="15"/>
        <v>40</v>
      </c>
      <c r="BO59" s="62"/>
      <c r="BP59" s="143"/>
      <c r="BQ59" s="13">
        <f t="shared" si="16"/>
        <v>40</v>
      </c>
      <c r="BR59" s="62">
        <v>30</v>
      </c>
      <c r="BS59" s="143">
        <f>1+2+1+7+10</f>
        <v>21</v>
      </c>
      <c r="BT59" s="13">
        <f t="shared" si="17"/>
        <v>49</v>
      </c>
      <c r="BU59" s="62">
        <v>20</v>
      </c>
      <c r="BV59" s="143">
        <f>3+13+28</f>
        <v>44</v>
      </c>
      <c r="BW59" s="13">
        <f t="shared" si="18"/>
        <v>25</v>
      </c>
      <c r="BX59" s="62"/>
      <c r="BY59" s="143"/>
      <c r="BZ59" s="13">
        <f t="shared" si="19"/>
        <v>25</v>
      </c>
      <c r="CA59" s="62">
        <v>40</v>
      </c>
      <c r="CB59" s="143">
        <f>2+5+16</f>
        <v>23</v>
      </c>
      <c r="CC59" s="13">
        <f t="shared" si="20"/>
        <v>42</v>
      </c>
      <c r="CD59" s="62">
        <v>30</v>
      </c>
      <c r="CE59" s="143">
        <f>1+20+3</f>
        <v>24</v>
      </c>
      <c r="CF59" s="13">
        <f t="shared" si="21"/>
        <v>48</v>
      </c>
      <c r="CG59" s="62">
        <v>40</v>
      </c>
      <c r="CH59" s="143">
        <f>16+2+30</f>
        <v>48</v>
      </c>
      <c r="CI59" s="13">
        <f t="shared" si="31"/>
        <v>40</v>
      </c>
      <c r="CJ59" s="62"/>
      <c r="CK59" s="143"/>
      <c r="CL59" s="13">
        <f t="shared" si="32"/>
        <v>40</v>
      </c>
      <c r="CM59" s="62">
        <f>70-1</f>
        <v>69</v>
      </c>
      <c r="CN59" s="143">
        <f>4+29+7</f>
        <v>40</v>
      </c>
      <c r="CO59" s="13">
        <f t="shared" si="22"/>
        <v>69</v>
      </c>
      <c r="CP59" s="62"/>
      <c r="CQ59" s="143">
        <f>6+39+22</f>
        <v>67</v>
      </c>
      <c r="CR59" s="13">
        <f t="shared" si="33"/>
        <v>2</v>
      </c>
      <c r="CS59" s="62"/>
      <c r="CT59" s="143"/>
      <c r="CU59" s="14">
        <f t="shared" si="23"/>
        <v>2</v>
      </c>
      <c r="CV59" s="5">
        <f t="shared" si="36"/>
        <v>739</v>
      </c>
      <c r="CW59" s="4">
        <f t="shared" si="36"/>
        <v>782</v>
      </c>
      <c r="CX59" s="6">
        <f t="shared" si="25"/>
        <v>2</v>
      </c>
      <c r="CY59" s="162">
        <v>214</v>
      </c>
      <c r="CZ59" s="171">
        <f t="shared" si="26"/>
        <v>428</v>
      </c>
      <c r="DB59" s="2">
        <f t="shared" si="34"/>
        <v>2</v>
      </c>
      <c r="DC59" s="61"/>
      <c r="DD59" s="143"/>
      <c r="DE59" s="149">
        <f t="shared" si="35"/>
        <v>2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19</v>
      </c>
      <c r="G60" s="62">
        <f>-19-1+48</f>
        <v>28</v>
      </c>
      <c r="H60" s="143">
        <v>19</v>
      </c>
      <c r="I60" s="13">
        <f t="shared" si="0"/>
        <v>28</v>
      </c>
      <c r="J60" s="62">
        <f>-10-4+48</f>
        <v>34</v>
      </c>
      <c r="K60" s="143">
        <f>8</f>
        <v>8</v>
      </c>
      <c r="L60" s="13">
        <f t="shared" si="1"/>
        <v>54</v>
      </c>
      <c r="M60" s="62"/>
      <c r="N60" s="143">
        <f>2+5+4</f>
        <v>11</v>
      </c>
      <c r="O60" s="13">
        <f t="shared" si="2"/>
        <v>43</v>
      </c>
      <c r="P60" s="62">
        <v>24</v>
      </c>
      <c r="Q60" s="143">
        <f>4+5+4+16</f>
        <v>29</v>
      </c>
      <c r="R60" s="30">
        <f t="shared" si="3"/>
        <v>38</v>
      </c>
      <c r="S60" s="62">
        <v>48</v>
      </c>
      <c r="T60" s="143">
        <f>1+1+1+1+7</f>
        <v>11</v>
      </c>
      <c r="U60" s="13">
        <f t="shared" si="4"/>
        <v>75</v>
      </c>
      <c r="V60" s="62">
        <v>24</v>
      </c>
      <c r="W60" s="143">
        <f>7+5+28</f>
        <v>40</v>
      </c>
      <c r="X60" s="13">
        <f t="shared" si="5"/>
        <v>59</v>
      </c>
      <c r="Y60" s="62"/>
      <c r="Z60" s="143"/>
      <c r="AA60" s="13">
        <f t="shared" si="27"/>
        <v>59</v>
      </c>
      <c r="AB60" s="62">
        <v>24</v>
      </c>
      <c r="AC60" s="143">
        <f>4+6+4+2+4+16</f>
        <v>36</v>
      </c>
      <c r="AD60" s="13">
        <f t="shared" si="28"/>
        <v>47</v>
      </c>
      <c r="AE60" s="62">
        <v>24</v>
      </c>
      <c r="AF60" s="143">
        <f>4+8</f>
        <v>12</v>
      </c>
      <c r="AG60" s="13">
        <f t="shared" si="29"/>
        <v>59</v>
      </c>
      <c r="AH60" s="62"/>
      <c r="AI60" s="143">
        <f>2+3</f>
        <v>5</v>
      </c>
      <c r="AJ60" s="13">
        <f t="shared" si="30"/>
        <v>54</v>
      </c>
      <c r="AK60" s="62">
        <v>24</v>
      </c>
      <c r="AL60" s="143">
        <f>18+1+4+3+4+3+4+7</f>
        <v>44</v>
      </c>
      <c r="AM60" s="13">
        <f t="shared" si="6"/>
        <v>34</v>
      </c>
      <c r="AN60" s="62">
        <v>24</v>
      </c>
      <c r="AO60" s="143">
        <f>1+4+1+7</f>
        <v>13</v>
      </c>
      <c r="AP60" s="13">
        <f t="shared" si="7"/>
        <v>45</v>
      </c>
      <c r="AQ60" s="62">
        <v>24</v>
      </c>
      <c r="AR60" s="143">
        <v>36</v>
      </c>
      <c r="AS60" s="13">
        <f t="shared" si="8"/>
        <v>33</v>
      </c>
      <c r="AT60" s="62"/>
      <c r="AU60" s="143"/>
      <c r="AV60" s="13">
        <f t="shared" si="9"/>
        <v>33</v>
      </c>
      <c r="AW60" s="62">
        <v>24</v>
      </c>
      <c r="AX60" s="143">
        <f>4+2+4+16+5</f>
        <v>31</v>
      </c>
      <c r="AY60" s="13">
        <f t="shared" si="10"/>
        <v>26</v>
      </c>
      <c r="AZ60" s="62">
        <f>-4-4+24</f>
        <v>16</v>
      </c>
      <c r="BA60" s="143">
        <f>6+20</f>
        <v>26</v>
      </c>
      <c r="BB60" s="13">
        <f t="shared" si="11"/>
        <v>16</v>
      </c>
      <c r="BC60" s="62">
        <v>24</v>
      </c>
      <c r="BD60" s="143">
        <f>6+4+5</f>
        <v>15</v>
      </c>
      <c r="BE60" s="13">
        <f t="shared" si="12"/>
        <v>25</v>
      </c>
      <c r="BF60" s="62">
        <f>-6+24</f>
        <v>18</v>
      </c>
      <c r="BG60" s="143">
        <f>4+16</f>
        <v>20</v>
      </c>
      <c r="BH60" s="13">
        <f t="shared" si="13"/>
        <v>23</v>
      </c>
      <c r="BI60" s="62">
        <v>48</v>
      </c>
      <c r="BJ60" s="143">
        <v>8</v>
      </c>
      <c r="BK60" s="13">
        <f t="shared" si="14"/>
        <v>63</v>
      </c>
      <c r="BL60" s="62">
        <v>24</v>
      </c>
      <c r="BM60" s="143">
        <f>5+38</f>
        <v>43</v>
      </c>
      <c r="BN60" s="13">
        <f t="shared" si="15"/>
        <v>44</v>
      </c>
      <c r="BO60" s="62"/>
      <c r="BP60" s="143"/>
      <c r="BQ60" s="13">
        <f t="shared" si="16"/>
        <v>44</v>
      </c>
      <c r="BR60" s="62">
        <v>24</v>
      </c>
      <c r="BS60" s="143">
        <f>4+4+6+2+4+20</f>
        <v>40</v>
      </c>
      <c r="BT60" s="13">
        <f t="shared" si="17"/>
        <v>28</v>
      </c>
      <c r="BU60" s="62">
        <f>-4-7-4-4-6+48</f>
        <v>23</v>
      </c>
      <c r="BV60" s="143">
        <f>5+20</f>
        <v>25</v>
      </c>
      <c r="BW60" s="13">
        <f t="shared" si="18"/>
        <v>26</v>
      </c>
      <c r="BX60" s="62"/>
      <c r="BY60" s="143">
        <f>3</f>
        <v>3</v>
      </c>
      <c r="BZ60" s="13">
        <f t="shared" si="19"/>
        <v>23</v>
      </c>
      <c r="CA60" s="62">
        <f>-7-3-3+48</f>
        <v>35</v>
      </c>
      <c r="CB60" s="143">
        <v>20</v>
      </c>
      <c r="CC60" s="13">
        <f t="shared" si="20"/>
        <v>38</v>
      </c>
      <c r="CD60" s="62">
        <v>24</v>
      </c>
      <c r="CE60" s="143">
        <f>8+8</f>
        <v>16</v>
      </c>
      <c r="CF60" s="13">
        <f t="shared" si="21"/>
        <v>46</v>
      </c>
      <c r="CG60" s="62">
        <v>24</v>
      </c>
      <c r="CH60" s="143">
        <v>38</v>
      </c>
      <c r="CI60" s="13">
        <f t="shared" si="31"/>
        <v>32</v>
      </c>
      <c r="CJ60" s="62"/>
      <c r="CK60" s="143"/>
      <c r="CL60" s="13">
        <f t="shared" si="32"/>
        <v>32</v>
      </c>
      <c r="CM60" s="62">
        <v>48</v>
      </c>
      <c r="CN60" s="143">
        <f>2+24</f>
        <v>26</v>
      </c>
      <c r="CO60" s="13">
        <f t="shared" si="22"/>
        <v>54</v>
      </c>
      <c r="CP60" s="62"/>
      <c r="CQ60" s="143">
        <v>40</v>
      </c>
      <c r="CR60" s="13">
        <f t="shared" si="33"/>
        <v>14</v>
      </c>
      <c r="CS60" s="62"/>
      <c r="CT60" s="143"/>
      <c r="CU60" s="14">
        <f t="shared" si="23"/>
        <v>14</v>
      </c>
      <c r="CV60" s="5">
        <f t="shared" si="36"/>
        <v>610</v>
      </c>
      <c r="CW60" s="4">
        <f t="shared" si="36"/>
        <v>615</v>
      </c>
      <c r="CX60" s="6">
        <f t="shared" si="25"/>
        <v>14</v>
      </c>
      <c r="CY60" s="162">
        <v>28</v>
      </c>
      <c r="CZ60" s="171">
        <f t="shared" si="26"/>
        <v>392</v>
      </c>
      <c r="DB60" s="2">
        <f t="shared" si="34"/>
        <v>14</v>
      </c>
      <c r="DC60" s="61"/>
      <c r="DD60" s="143"/>
      <c r="DE60" s="149">
        <f t="shared" si="35"/>
        <v>14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 t="s">
        <v>339</v>
      </c>
      <c r="E63" s="52" t="s">
        <v>26</v>
      </c>
      <c r="F63" s="14">
        <v>161</v>
      </c>
      <c r="G63" s="62">
        <v>420</v>
      </c>
      <c r="H63" s="143">
        <f>15+6+140</f>
        <v>161</v>
      </c>
      <c r="I63" s="13">
        <f t="shared" si="0"/>
        <v>420</v>
      </c>
      <c r="J63" s="62">
        <v>140</v>
      </c>
      <c r="K63" s="143">
        <f>15+3+180</f>
        <v>198</v>
      </c>
      <c r="L63" s="13">
        <f t="shared" si="1"/>
        <v>362</v>
      </c>
      <c r="M63" s="62"/>
      <c r="N63" s="143"/>
      <c r="O63" s="13">
        <f t="shared" si="2"/>
        <v>362</v>
      </c>
      <c r="P63" s="62">
        <v>280</v>
      </c>
      <c r="Q63" s="143">
        <f>10+90</f>
        <v>100</v>
      </c>
      <c r="R63" s="30">
        <f t="shared" si="3"/>
        <v>542</v>
      </c>
      <c r="S63" s="62">
        <v>140</v>
      </c>
      <c r="T63" s="143">
        <f>15+5+220</f>
        <v>240</v>
      </c>
      <c r="U63" s="13">
        <f t="shared" si="4"/>
        <v>442</v>
      </c>
      <c r="V63" s="62">
        <v>45</v>
      </c>
      <c r="W63" s="143">
        <f>15+4+140</f>
        <v>159</v>
      </c>
      <c r="X63" s="13">
        <f t="shared" si="5"/>
        <v>328</v>
      </c>
      <c r="Y63" s="62"/>
      <c r="Z63" s="143"/>
      <c r="AA63" s="13">
        <f t="shared" si="27"/>
        <v>328</v>
      </c>
      <c r="AB63" s="62">
        <f>280+140</f>
        <v>420</v>
      </c>
      <c r="AC63" s="143">
        <f>15+3+270</f>
        <v>288</v>
      </c>
      <c r="AD63" s="13">
        <f t="shared" si="28"/>
        <v>460</v>
      </c>
      <c r="AE63" s="62"/>
      <c r="AF63" s="143">
        <v>140</v>
      </c>
      <c r="AG63" s="13">
        <f t="shared" si="29"/>
        <v>320</v>
      </c>
      <c r="AH63" s="62"/>
      <c r="AI63" s="143"/>
      <c r="AJ63" s="13">
        <f t="shared" si="30"/>
        <v>320</v>
      </c>
      <c r="AK63" s="62">
        <v>280</v>
      </c>
      <c r="AL63" s="143">
        <v>190</v>
      </c>
      <c r="AM63" s="13">
        <f t="shared" si="6"/>
        <v>410</v>
      </c>
      <c r="AN63" s="62"/>
      <c r="AO63" s="143">
        <f>1+100</f>
        <v>101</v>
      </c>
      <c r="AP63" s="13">
        <f t="shared" si="7"/>
        <v>309</v>
      </c>
      <c r="AQ63" s="62">
        <v>280</v>
      </c>
      <c r="AR63" s="143">
        <f>10+2+120</f>
        <v>132</v>
      </c>
      <c r="AS63" s="13">
        <f t="shared" si="8"/>
        <v>457</v>
      </c>
      <c r="AT63" s="62"/>
      <c r="AU63" s="143"/>
      <c r="AV63" s="13">
        <f t="shared" si="9"/>
        <v>457</v>
      </c>
      <c r="AW63" s="62">
        <v>140</v>
      </c>
      <c r="AX63" s="143">
        <f>15+5+225</f>
        <v>245</v>
      </c>
      <c r="AY63" s="13">
        <f t="shared" si="10"/>
        <v>352</v>
      </c>
      <c r="AZ63" s="62">
        <v>280</v>
      </c>
      <c r="BA63" s="143">
        <f>15+8+50</f>
        <v>73</v>
      </c>
      <c r="BB63" s="13">
        <f t="shared" si="11"/>
        <v>559</v>
      </c>
      <c r="BC63" s="62"/>
      <c r="BD63" s="143"/>
      <c r="BE63" s="13">
        <f t="shared" si="12"/>
        <v>559</v>
      </c>
      <c r="BF63" s="62"/>
      <c r="BG63" s="143">
        <f>2+10+90</f>
        <v>102</v>
      </c>
      <c r="BH63" s="13">
        <f t="shared" si="13"/>
        <v>457</v>
      </c>
      <c r="BI63" s="62"/>
      <c r="BJ63" s="143">
        <f>15+2+120</f>
        <v>137</v>
      </c>
      <c r="BK63" s="13">
        <f t="shared" si="14"/>
        <v>320</v>
      </c>
      <c r="BL63" s="62">
        <v>280</v>
      </c>
      <c r="BM63" s="143">
        <f>15+3+195</f>
        <v>213</v>
      </c>
      <c r="BN63" s="13">
        <f t="shared" si="15"/>
        <v>387</v>
      </c>
      <c r="BO63" s="62"/>
      <c r="BP63" s="143"/>
      <c r="BQ63" s="13">
        <f t="shared" si="16"/>
        <v>387</v>
      </c>
      <c r="BR63" s="62"/>
      <c r="BS63" s="143">
        <f>10+6+20</f>
        <v>36</v>
      </c>
      <c r="BT63" s="13">
        <f t="shared" si="17"/>
        <v>351</v>
      </c>
      <c r="BU63" s="62">
        <v>420</v>
      </c>
      <c r="BV63" s="143">
        <f>10+175</f>
        <v>185</v>
      </c>
      <c r="BW63" s="13">
        <f t="shared" si="18"/>
        <v>586</v>
      </c>
      <c r="BX63" s="62"/>
      <c r="BY63" s="143"/>
      <c r="BZ63" s="13">
        <f t="shared" si="19"/>
        <v>586</v>
      </c>
      <c r="CA63" s="62"/>
      <c r="CB63" s="143">
        <f>10+2+100</f>
        <v>112</v>
      </c>
      <c r="CC63" s="13">
        <f t="shared" si="20"/>
        <v>474</v>
      </c>
      <c r="CD63" s="62">
        <v>420</v>
      </c>
      <c r="CE63" s="143">
        <f>90+5</f>
        <v>95</v>
      </c>
      <c r="CF63" s="13">
        <f t="shared" si="21"/>
        <v>799</v>
      </c>
      <c r="CG63" s="62"/>
      <c r="CH63" s="143">
        <f>7+25+245</f>
        <v>277</v>
      </c>
      <c r="CI63" s="13">
        <f t="shared" si="31"/>
        <v>522</v>
      </c>
      <c r="CJ63" s="62">
        <v>420</v>
      </c>
      <c r="CK63" s="143"/>
      <c r="CL63" s="13">
        <f t="shared" si="32"/>
        <v>942</v>
      </c>
      <c r="CM63" s="62"/>
      <c r="CN63" s="143">
        <f>230+9</f>
        <v>239</v>
      </c>
      <c r="CO63" s="13">
        <f t="shared" si="22"/>
        <v>703</v>
      </c>
      <c r="CP63" s="62"/>
      <c r="CQ63" s="143">
        <f>35+90+7</f>
        <v>132</v>
      </c>
      <c r="CR63" s="13">
        <f t="shared" si="33"/>
        <v>571</v>
      </c>
      <c r="CS63" s="62"/>
      <c r="CT63" s="143"/>
      <c r="CU63" s="14">
        <f t="shared" si="23"/>
        <v>571</v>
      </c>
      <c r="CV63" s="5">
        <f t="shared" si="36"/>
        <v>3965</v>
      </c>
      <c r="CW63" s="4">
        <f t="shared" si="36"/>
        <v>3555</v>
      </c>
      <c r="CX63" s="6">
        <f t="shared" si="25"/>
        <v>571</v>
      </c>
      <c r="CY63" s="162">
        <v>63</v>
      </c>
      <c r="CZ63" s="171">
        <f t="shared" si="26"/>
        <v>35973</v>
      </c>
      <c r="DB63" s="2">
        <f t="shared" si="34"/>
        <v>571</v>
      </c>
      <c r="DC63" s="61"/>
      <c r="DD63" s="143"/>
      <c r="DE63" s="149">
        <f t="shared" si="35"/>
        <v>571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2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2"/>
      <c r="AL64" s="143"/>
      <c r="AM64" s="13">
        <f t="shared" si="6"/>
        <v>0</v>
      </c>
      <c r="AN64" s="62"/>
      <c r="AO64" s="143"/>
      <c r="AP64" s="13">
        <f t="shared" si="7"/>
        <v>0</v>
      </c>
      <c r="AQ64" s="62"/>
      <c r="AR64" s="143"/>
      <c r="AS64" s="13">
        <f t="shared" si="8"/>
        <v>0</v>
      </c>
      <c r="AT64" s="62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43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2</v>
      </c>
      <c r="G67" s="62">
        <v>2</v>
      </c>
      <c r="H67" s="143">
        <v>2</v>
      </c>
      <c r="I67" s="13">
        <f t="shared" si="0"/>
        <v>2</v>
      </c>
      <c r="J67" s="62">
        <v>6</v>
      </c>
      <c r="K67" s="143">
        <v>2</v>
      </c>
      <c r="L67" s="13">
        <f t="shared" si="1"/>
        <v>6</v>
      </c>
      <c r="M67" s="62">
        <v>3</v>
      </c>
      <c r="N67" s="143"/>
      <c r="O67" s="13">
        <f t="shared" si="2"/>
        <v>9</v>
      </c>
      <c r="P67" s="62">
        <f>-6+9</f>
        <v>3</v>
      </c>
      <c r="Q67" s="143">
        <f>6+3</f>
        <v>9</v>
      </c>
      <c r="R67" s="30">
        <f t="shared" si="3"/>
        <v>3</v>
      </c>
      <c r="S67" s="62">
        <v>3</v>
      </c>
      <c r="T67" s="143">
        <f>1+2</f>
        <v>3</v>
      </c>
      <c r="U67" s="13">
        <f t="shared" si="4"/>
        <v>3</v>
      </c>
      <c r="V67" s="62">
        <f>4+2</f>
        <v>6</v>
      </c>
      <c r="W67" s="143">
        <v>3</v>
      </c>
      <c r="X67" s="13">
        <f t="shared" si="5"/>
        <v>6</v>
      </c>
      <c r="Y67" s="62"/>
      <c r="Z67" s="143"/>
      <c r="AA67" s="13">
        <f t="shared" si="27"/>
        <v>6</v>
      </c>
      <c r="AB67" s="62">
        <f>-7+7+5</f>
        <v>5</v>
      </c>
      <c r="AC67" s="143">
        <v>6</v>
      </c>
      <c r="AD67" s="13">
        <f t="shared" si="28"/>
        <v>5</v>
      </c>
      <c r="AE67" s="62">
        <v>8</v>
      </c>
      <c r="AF67" s="143">
        <v>5</v>
      </c>
      <c r="AG67" s="13">
        <f t="shared" si="29"/>
        <v>8</v>
      </c>
      <c r="AH67" s="62"/>
      <c r="AI67" s="143"/>
      <c r="AJ67" s="13">
        <f t="shared" si="30"/>
        <v>8</v>
      </c>
      <c r="AK67" s="62">
        <f>-2+4</f>
        <v>2</v>
      </c>
      <c r="AL67" s="143">
        <v>8</v>
      </c>
      <c r="AM67" s="13">
        <f t="shared" si="6"/>
        <v>2</v>
      </c>
      <c r="AN67" s="62">
        <v>6</v>
      </c>
      <c r="AO67" s="143">
        <v>2</v>
      </c>
      <c r="AP67" s="13">
        <f t="shared" si="7"/>
        <v>6</v>
      </c>
      <c r="AQ67" s="62">
        <f>-3+9</f>
        <v>6</v>
      </c>
      <c r="AR67" s="143">
        <v>6</v>
      </c>
      <c r="AS67" s="13">
        <f t="shared" si="8"/>
        <v>6</v>
      </c>
      <c r="AT67" s="62"/>
      <c r="AU67" s="143"/>
      <c r="AV67" s="13">
        <f t="shared" si="9"/>
        <v>6</v>
      </c>
      <c r="AW67" s="62">
        <f>-6+8</f>
        <v>2</v>
      </c>
      <c r="AX67" s="143">
        <v>6</v>
      </c>
      <c r="AY67" s="13">
        <f t="shared" si="10"/>
        <v>2</v>
      </c>
      <c r="AZ67" s="62">
        <v>6</v>
      </c>
      <c r="BA67" s="143"/>
      <c r="BB67" s="13">
        <f t="shared" si="11"/>
        <v>8</v>
      </c>
      <c r="BC67" s="62"/>
      <c r="BD67" s="143"/>
      <c r="BE67" s="13">
        <f t="shared" si="12"/>
        <v>8</v>
      </c>
      <c r="BF67" s="62">
        <f>-3+8</f>
        <v>5</v>
      </c>
      <c r="BG67" s="143">
        <v>8</v>
      </c>
      <c r="BH67" s="13">
        <f t="shared" si="13"/>
        <v>5</v>
      </c>
      <c r="BI67" s="62">
        <f>8+1</f>
        <v>9</v>
      </c>
      <c r="BJ67" s="143">
        <v>5</v>
      </c>
      <c r="BK67" s="13">
        <f t="shared" si="14"/>
        <v>9</v>
      </c>
      <c r="BL67" s="62">
        <f>5+6</f>
        <v>11</v>
      </c>
      <c r="BM67" s="143">
        <v>9</v>
      </c>
      <c r="BN67" s="13">
        <f t="shared" si="15"/>
        <v>11</v>
      </c>
      <c r="BO67" s="62"/>
      <c r="BP67" s="143"/>
      <c r="BQ67" s="13">
        <f t="shared" si="16"/>
        <v>11</v>
      </c>
      <c r="BR67" s="62">
        <f>-5+5+5</f>
        <v>5</v>
      </c>
      <c r="BS67" s="143">
        <v>11</v>
      </c>
      <c r="BT67" s="13">
        <f t="shared" si="17"/>
        <v>5</v>
      </c>
      <c r="BU67" s="62">
        <v>11</v>
      </c>
      <c r="BV67" s="143">
        <v>5</v>
      </c>
      <c r="BW67" s="13">
        <f t="shared" si="18"/>
        <v>11</v>
      </c>
      <c r="BX67" s="62"/>
      <c r="BY67" s="143"/>
      <c r="BZ67" s="13">
        <f t="shared" si="19"/>
        <v>11</v>
      </c>
      <c r="CA67" s="62">
        <v>1</v>
      </c>
      <c r="CB67" s="143">
        <v>11</v>
      </c>
      <c r="CC67" s="13">
        <f t="shared" si="20"/>
        <v>1</v>
      </c>
      <c r="CD67" s="62">
        <f>-1+18</f>
        <v>17</v>
      </c>
      <c r="CE67" s="143">
        <v>1</v>
      </c>
      <c r="CF67" s="13">
        <f t="shared" si="21"/>
        <v>17</v>
      </c>
      <c r="CG67" s="62">
        <v>4</v>
      </c>
      <c r="CH67" s="143">
        <v>17</v>
      </c>
      <c r="CI67" s="13">
        <f t="shared" si="31"/>
        <v>4</v>
      </c>
      <c r="CJ67" s="62">
        <v>17</v>
      </c>
      <c r="CK67" s="143"/>
      <c r="CL67" s="13">
        <f t="shared" si="32"/>
        <v>21</v>
      </c>
      <c r="CM67" s="62"/>
      <c r="CN67" s="143">
        <v>4</v>
      </c>
      <c r="CO67" s="13">
        <f t="shared" si="22"/>
        <v>17</v>
      </c>
      <c r="CP67" s="62"/>
      <c r="CQ67" s="143">
        <v>17</v>
      </c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138</v>
      </c>
      <c r="CW67" s="4">
        <f t="shared" si="36"/>
        <v>140</v>
      </c>
      <c r="CX67" s="6">
        <f t="shared" si="25"/>
        <v>0</v>
      </c>
      <c r="CY67" s="162">
        <v>90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329</v>
      </c>
      <c r="C68" s="104" t="s">
        <v>21</v>
      </c>
      <c r="D68" s="34"/>
      <c r="E68" s="34"/>
      <c r="F68" s="14">
        <v>1</v>
      </c>
      <c r="G68" s="62"/>
      <c r="H68" s="143"/>
      <c r="I68" s="13">
        <f>F68+G68-H68</f>
        <v>1</v>
      </c>
      <c r="J68" s="62"/>
      <c r="K68" s="143"/>
      <c r="L68" s="13">
        <f>I68+J68-K68</f>
        <v>1</v>
      </c>
      <c r="M68" s="62"/>
      <c r="N68" s="143"/>
      <c r="O68" s="13">
        <f>L68+M68-N68</f>
        <v>1</v>
      </c>
      <c r="P68" s="62"/>
      <c r="Q68" s="143"/>
      <c r="R68" s="13">
        <f>O68+P68-Q68</f>
        <v>1</v>
      </c>
      <c r="S68" s="62"/>
      <c r="T68" s="143"/>
      <c r="U68" s="13">
        <f t="shared" si="4"/>
        <v>1</v>
      </c>
      <c r="V68" s="62"/>
      <c r="W68" s="143"/>
      <c r="X68" s="13">
        <f t="shared" si="5"/>
        <v>1</v>
      </c>
      <c r="Y68" s="62"/>
      <c r="Z68" s="143"/>
      <c r="AA68" s="13">
        <f t="shared" si="27"/>
        <v>1</v>
      </c>
      <c r="AB68" s="62"/>
      <c r="AC68" s="143"/>
      <c r="AD68" s="13">
        <f t="shared" si="28"/>
        <v>1</v>
      </c>
      <c r="AE68" s="62"/>
      <c r="AF68" s="143"/>
      <c r="AG68" s="13">
        <f t="shared" si="29"/>
        <v>1</v>
      </c>
      <c r="AH68" s="62"/>
      <c r="AI68" s="143"/>
      <c r="AJ68" s="13">
        <f t="shared" si="30"/>
        <v>1</v>
      </c>
      <c r="AK68" s="62"/>
      <c r="AL68" s="143"/>
      <c r="AM68" s="13">
        <f t="shared" si="6"/>
        <v>1</v>
      </c>
      <c r="AN68" s="62"/>
      <c r="AO68" s="143"/>
      <c r="AP68" s="13">
        <f t="shared" si="7"/>
        <v>1</v>
      </c>
      <c r="AQ68" s="62"/>
      <c r="AR68" s="143"/>
      <c r="AS68" s="13">
        <f t="shared" si="8"/>
        <v>1</v>
      </c>
      <c r="AT68" s="62"/>
      <c r="AU68" s="143"/>
      <c r="AV68" s="13">
        <f t="shared" si="9"/>
        <v>1</v>
      </c>
      <c r="AW68" s="62"/>
      <c r="AX68" s="143"/>
      <c r="AY68" s="13">
        <f t="shared" si="10"/>
        <v>1</v>
      </c>
      <c r="AZ68" s="62"/>
      <c r="BA68" s="143"/>
      <c r="BB68" s="13">
        <f t="shared" si="11"/>
        <v>1</v>
      </c>
      <c r="BC68" s="62"/>
      <c r="BD68" s="143"/>
      <c r="BE68" s="13">
        <f t="shared" si="12"/>
        <v>1</v>
      </c>
      <c r="BF68" s="62"/>
      <c r="BG68" s="143"/>
      <c r="BH68" s="13">
        <f t="shared" si="13"/>
        <v>1</v>
      </c>
      <c r="BI68" s="62"/>
      <c r="BJ68" s="143"/>
      <c r="BK68" s="13">
        <f t="shared" si="14"/>
        <v>1</v>
      </c>
      <c r="BL68" s="62">
        <v>-1</v>
      </c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-1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4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6" si="38">BW69+BX69-BY69</f>
        <v>0</v>
      </c>
      <c r="CA69" s="62"/>
      <c r="CB69" s="143"/>
      <c r="CC69" s="13">
        <f t="shared" ref="CC69:CC86" si="39">BZ69+CA69-CB69</f>
        <v>0</v>
      </c>
      <c r="CD69" s="62"/>
      <c r="CE69" s="143"/>
      <c r="CF69" s="13">
        <f t="shared" ref="CF69:CF86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6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4" si="42">CR69+CS69-CT69</f>
        <v>0</v>
      </c>
      <c r="CV69" s="5">
        <f t="shared" ref="CV69:CW94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4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20</v>
      </c>
      <c r="G70" s="62"/>
      <c r="H70" s="143"/>
      <c r="I70" s="13">
        <f>F70+G70-H70</f>
        <v>20</v>
      </c>
      <c r="J70" s="62"/>
      <c r="K70" s="143"/>
      <c r="L70" s="13">
        <f>I70+J70-K70</f>
        <v>20</v>
      </c>
      <c r="M70" s="62"/>
      <c r="N70" s="143"/>
      <c r="O70" s="13">
        <f>L70+M70-N70</f>
        <v>20</v>
      </c>
      <c r="P70" s="62"/>
      <c r="Q70" s="143"/>
      <c r="R70" s="30">
        <f>O70+P70-Q70</f>
        <v>20</v>
      </c>
      <c r="S70" s="62"/>
      <c r="T70" s="143"/>
      <c r="U70" s="13">
        <f>R70+S70-T70</f>
        <v>20</v>
      </c>
      <c r="V70" s="62"/>
      <c r="W70" s="143"/>
      <c r="X70" s="13">
        <f>U70+V70-W70</f>
        <v>20</v>
      </c>
      <c r="Y70" s="62"/>
      <c r="Z70" s="143"/>
      <c r="AA70" s="13">
        <f>X70+Y70-Z70</f>
        <v>20</v>
      </c>
      <c r="AB70" s="62"/>
      <c r="AC70" s="143"/>
      <c r="AD70" s="13">
        <f>AA70+AB70-AC70</f>
        <v>20</v>
      </c>
      <c r="AE70" s="62"/>
      <c r="AF70" s="143"/>
      <c r="AG70" s="13">
        <f>AD70+AE70-AF70</f>
        <v>20</v>
      </c>
      <c r="AH70" s="62"/>
      <c r="AI70" s="143"/>
      <c r="AJ70" s="13">
        <f>AG70+AH70-AI70</f>
        <v>20</v>
      </c>
      <c r="AK70" s="62"/>
      <c r="AL70" s="143"/>
      <c r="AM70" s="13">
        <f>AJ70+AK70-AL70</f>
        <v>20</v>
      </c>
      <c r="AN70" s="62"/>
      <c r="AO70" s="143"/>
      <c r="AP70" s="13">
        <f>AM70+AN70-AO70</f>
        <v>20</v>
      </c>
      <c r="AQ70" s="62"/>
      <c r="AR70" s="143"/>
      <c r="AS70" s="13">
        <f>AP70+AQ70-AR70</f>
        <v>20</v>
      </c>
      <c r="AT70" s="62"/>
      <c r="AU70" s="143"/>
      <c r="AV70" s="13">
        <f>AS70+AT70-AU70</f>
        <v>20</v>
      </c>
      <c r="AW70" s="62"/>
      <c r="AX70" s="143"/>
      <c r="AY70" s="13">
        <f>AV70+AW70-AX70</f>
        <v>20</v>
      </c>
      <c r="AZ70" s="62"/>
      <c r="BA70" s="143"/>
      <c r="BB70" s="13">
        <f>AY70+AZ70-BA70</f>
        <v>20</v>
      </c>
      <c r="BC70" s="62"/>
      <c r="BD70" s="143"/>
      <c r="BE70" s="13">
        <f>BB70+BC70-BD70</f>
        <v>20</v>
      </c>
      <c r="BF70" s="62"/>
      <c r="BG70" s="143"/>
      <c r="BH70" s="13">
        <f>BE70+BF70-BG70</f>
        <v>20</v>
      </c>
      <c r="BI70" s="62"/>
      <c r="BJ70" s="143"/>
      <c r="BK70" s="13">
        <f>BH70+BI70-BJ70</f>
        <v>20</v>
      </c>
      <c r="BL70" s="62">
        <v>-20</v>
      </c>
      <c r="BM70" s="143"/>
      <c r="BN70" s="13">
        <f>BK70+BL70-BM70</f>
        <v>0</v>
      </c>
      <c r="BO70" s="62"/>
      <c r="BP70" s="143"/>
      <c r="BQ70" s="13">
        <f>BN70+BO70-BP70</f>
        <v>0</v>
      </c>
      <c r="BR70" s="62"/>
      <c r="BS70" s="143"/>
      <c r="BT70" s="13">
        <f t="shared" si="37"/>
        <v>0</v>
      </c>
      <c r="BU70" s="62"/>
      <c r="BV70" s="143"/>
      <c r="BW70" s="13">
        <f>BT70+BU70-BV70</f>
        <v>0</v>
      </c>
      <c r="BX70" s="62"/>
      <c r="BY70" s="143"/>
      <c r="BZ70" s="13">
        <f t="shared" si="38"/>
        <v>0</v>
      </c>
      <c r="CA70" s="62"/>
      <c r="CB70" s="143"/>
      <c r="CC70" s="13">
        <f t="shared" si="39"/>
        <v>0</v>
      </c>
      <c r="CD70" s="62"/>
      <c r="CE70" s="143"/>
      <c r="CF70" s="13">
        <f t="shared" si="40"/>
        <v>0</v>
      </c>
      <c r="CG70" s="62"/>
      <c r="CH70" s="143"/>
      <c r="CI70" s="13">
        <f t="shared" ref="CI70:CI86" si="46">CF70+CG70-CH70</f>
        <v>0</v>
      </c>
      <c r="CJ70" s="62"/>
      <c r="CK70" s="143"/>
      <c r="CL70" s="13">
        <f t="shared" ref="CL70:CL86" si="47">CI70+CJ70-CK70</f>
        <v>0</v>
      </c>
      <c r="CM70" s="62"/>
      <c r="CN70" s="143"/>
      <c r="CO70" s="13">
        <f t="shared" si="41"/>
        <v>0</v>
      </c>
      <c r="CP70" s="62"/>
      <c r="CQ70" s="143"/>
      <c r="CR70" s="13">
        <f t="shared" ref="CR70:CR86" si="48">CO70+CP70-CQ70</f>
        <v>0</v>
      </c>
      <c r="CS70" s="62"/>
      <c r="CT70" s="143"/>
      <c r="CU70" s="14">
        <f t="shared" si="42"/>
        <v>0</v>
      </c>
      <c r="CV70" s="5">
        <f t="shared" si="43"/>
        <v>-20</v>
      </c>
      <c r="CW70" s="4">
        <f t="shared" si="43"/>
        <v>0</v>
      </c>
      <c r="CX70" s="6">
        <f t="shared" si="44"/>
        <v>0</v>
      </c>
      <c r="CY70" s="162">
        <v>0</v>
      </c>
      <c r="CZ70" s="171">
        <f t="shared" si="45"/>
        <v>0</v>
      </c>
      <c r="DB70" s="2">
        <f t="shared" ref="DB70:DB94" si="49">CU70</f>
        <v>0</v>
      </c>
      <c r="DC70" s="62"/>
      <c r="DD70" s="143"/>
      <c r="DE70" s="149">
        <f t="shared" si="35"/>
        <v>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19</v>
      </c>
      <c r="G71" s="62"/>
      <c r="H71" s="143"/>
      <c r="I71" s="13">
        <f>F71+G71-H71</f>
        <v>19</v>
      </c>
      <c r="J71" s="62"/>
      <c r="K71" s="143">
        <f>9+7+1</f>
        <v>17</v>
      </c>
      <c r="L71" s="13">
        <f>I71+J71-K71</f>
        <v>2</v>
      </c>
      <c r="M71" s="62"/>
      <c r="N71" s="143"/>
      <c r="O71" s="13">
        <f>L71+M71-N71</f>
        <v>2</v>
      </c>
      <c r="P71" s="62"/>
      <c r="Q71" s="143"/>
      <c r="R71" s="13">
        <f>O71+P71-Q71</f>
        <v>2</v>
      </c>
      <c r="S71" s="62"/>
      <c r="T71" s="143"/>
      <c r="U71" s="13">
        <f>R71+S71-T71</f>
        <v>2</v>
      </c>
      <c r="V71" s="62">
        <v>32</v>
      </c>
      <c r="W71" s="143"/>
      <c r="X71" s="13">
        <f>U71+V71-W71</f>
        <v>34</v>
      </c>
      <c r="Y71" s="62"/>
      <c r="Z71" s="143"/>
      <c r="AA71" s="13">
        <f>X71+Y71-Z71</f>
        <v>34</v>
      </c>
      <c r="AB71" s="62"/>
      <c r="AC71" s="143">
        <f>7</f>
        <v>7</v>
      </c>
      <c r="AD71" s="13">
        <f>AA71+AB71-AC71</f>
        <v>27</v>
      </c>
      <c r="AE71" s="62"/>
      <c r="AF71" s="143">
        <f>1</f>
        <v>1</v>
      </c>
      <c r="AG71" s="13">
        <f>AD71+AE71-AF71</f>
        <v>26</v>
      </c>
      <c r="AH71" s="62"/>
      <c r="AI71" s="143">
        <f>6</f>
        <v>6</v>
      </c>
      <c r="AJ71" s="13">
        <f>AG71+AH71-AI71</f>
        <v>20</v>
      </c>
      <c r="AK71" s="62"/>
      <c r="AL71" s="143"/>
      <c r="AM71" s="13">
        <f>AJ71+AK71-AL71</f>
        <v>20</v>
      </c>
      <c r="AN71" s="62"/>
      <c r="AO71" s="143"/>
      <c r="AP71" s="13">
        <f>AM71+AN71-AO71</f>
        <v>20</v>
      </c>
      <c r="AQ71" s="62"/>
      <c r="AR71" s="143"/>
      <c r="AS71" s="13">
        <f>AP71+AQ71-AR71</f>
        <v>20</v>
      </c>
      <c r="AT71" s="62"/>
      <c r="AU71" s="143"/>
      <c r="AV71" s="13">
        <f>AS71+AT71-AU71</f>
        <v>20</v>
      </c>
      <c r="AW71" s="62"/>
      <c r="AX71" s="143"/>
      <c r="AY71" s="13">
        <f>AV71+AW71-AX71</f>
        <v>20</v>
      </c>
      <c r="AZ71" s="62"/>
      <c r="BA71" s="143">
        <f>1+10+7</f>
        <v>18</v>
      </c>
      <c r="BB71" s="13">
        <f>AY71+AZ71-BA71</f>
        <v>2</v>
      </c>
      <c r="BC71" s="62"/>
      <c r="BD71" s="143"/>
      <c r="BE71" s="13">
        <f>BB71+BC71-BD71</f>
        <v>2</v>
      </c>
      <c r="BF71" s="62"/>
      <c r="BG71" s="143"/>
      <c r="BH71" s="13">
        <f>BE71+BF71-BG71</f>
        <v>2</v>
      </c>
      <c r="BI71" s="62">
        <v>32</v>
      </c>
      <c r="BJ71" s="143"/>
      <c r="BK71" s="13">
        <f>BH71+BI71-BJ71</f>
        <v>34</v>
      </c>
      <c r="BL71" s="62"/>
      <c r="BM71" s="143"/>
      <c r="BN71" s="13">
        <f>BK71+BL71-BM71</f>
        <v>34</v>
      </c>
      <c r="BO71" s="62"/>
      <c r="BP71" s="143"/>
      <c r="BQ71" s="13">
        <f>BN71+BO71-BP71</f>
        <v>34</v>
      </c>
      <c r="BR71" s="62"/>
      <c r="BS71" s="143">
        <f>13+7</f>
        <v>20</v>
      </c>
      <c r="BT71" s="13">
        <f t="shared" si="37"/>
        <v>14</v>
      </c>
      <c r="BU71" s="62"/>
      <c r="BV71" s="143">
        <f>1</f>
        <v>1</v>
      </c>
      <c r="BW71" s="13">
        <f>BT71+BU71-BV71</f>
        <v>13</v>
      </c>
      <c r="BX71" s="62"/>
      <c r="BY71" s="143"/>
      <c r="BZ71" s="13">
        <f t="shared" si="38"/>
        <v>13</v>
      </c>
      <c r="CA71" s="62"/>
      <c r="CB71" s="143"/>
      <c r="CC71" s="13">
        <f t="shared" si="39"/>
        <v>13</v>
      </c>
      <c r="CD71" s="62"/>
      <c r="CE71" s="143"/>
      <c r="CF71" s="13">
        <f t="shared" si="40"/>
        <v>13</v>
      </c>
      <c r="CG71" s="62"/>
      <c r="CH71" s="143"/>
      <c r="CI71" s="13">
        <f t="shared" si="46"/>
        <v>13</v>
      </c>
      <c r="CJ71" s="62"/>
      <c r="CK71" s="143"/>
      <c r="CL71" s="13">
        <f t="shared" si="47"/>
        <v>13</v>
      </c>
      <c r="CM71" s="62"/>
      <c r="CN71" s="143">
        <v>1</v>
      </c>
      <c r="CO71" s="13">
        <f t="shared" si="41"/>
        <v>12</v>
      </c>
      <c r="CP71" s="62"/>
      <c r="CQ71" s="143"/>
      <c r="CR71" s="13">
        <f t="shared" si="48"/>
        <v>12</v>
      </c>
      <c r="CS71" s="62"/>
      <c r="CT71" s="143"/>
      <c r="CU71" s="14">
        <f t="shared" si="42"/>
        <v>12</v>
      </c>
      <c r="CV71" s="5">
        <f t="shared" si="43"/>
        <v>64</v>
      </c>
      <c r="CW71" s="4">
        <f t="shared" si="43"/>
        <v>71</v>
      </c>
      <c r="CX71" s="6">
        <f t="shared" si="44"/>
        <v>12</v>
      </c>
      <c r="CY71" s="162">
        <v>172</v>
      </c>
      <c r="CZ71" s="171">
        <f t="shared" si="45"/>
        <v>2064</v>
      </c>
      <c r="DB71" s="2">
        <f t="shared" si="49"/>
        <v>12</v>
      </c>
      <c r="DC71" s="62"/>
      <c r="DD71" s="143"/>
      <c r="DE71" s="149">
        <f t="shared" ref="DE71:DE94" si="50">DC71+DB71-DD71</f>
        <v>12</v>
      </c>
    </row>
    <row r="72" spans="1:109" ht="15.75" customHeight="1">
      <c r="A72" s="33"/>
      <c r="B72" s="3" t="s">
        <v>265</v>
      </c>
      <c r="C72" s="104" t="s">
        <v>21</v>
      </c>
      <c r="D72" s="34"/>
      <c r="E72" s="34"/>
      <c r="F72" s="14">
        <v>45</v>
      </c>
      <c r="G72" s="61">
        <v>160</v>
      </c>
      <c r="H72" s="199">
        <v>65</v>
      </c>
      <c r="I72" s="13">
        <f>F72+G72-H72</f>
        <v>140</v>
      </c>
      <c r="J72" s="61">
        <f>-35+80</f>
        <v>45</v>
      </c>
      <c r="K72" s="199">
        <f>78+61</f>
        <v>139</v>
      </c>
      <c r="L72" s="13">
        <f>I72+J72-K72</f>
        <v>46</v>
      </c>
      <c r="M72" s="61"/>
      <c r="N72" s="199"/>
      <c r="O72" s="13">
        <f>L72+M72-N72</f>
        <v>46</v>
      </c>
      <c r="P72" s="61"/>
      <c r="Q72" s="199"/>
      <c r="R72" s="30">
        <f>O72+P72-Q72</f>
        <v>46</v>
      </c>
      <c r="S72" s="61"/>
      <c r="T72" s="199"/>
      <c r="U72" s="13">
        <f>R72+S72-T72</f>
        <v>46</v>
      </c>
      <c r="V72" s="61"/>
      <c r="W72" s="199"/>
      <c r="X72" s="13">
        <f>U72+V72-W72</f>
        <v>46</v>
      </c>
      <c r="Y72" s="61"/>
      <c r="Z72" s="199"/>
      <c r="AA72" s="13">
        <f>X72+Y72-Z72</f>
        <v>46</v>
      </c>
      <c r="AB72" s="61"/>
      <c r="AC72" s="199">
        <v>36</v>
      </c>
      <c r="AD72" s="13">
        <f>AA72+AB72-AC72</f>
        <v>10</v>
      </c>
      <c r="AE72" s="61">
        <f>-21+160</f>
        <v>139</v>
      </c>
      <c r="AF72" s="199">
        <v>10</v>
      </c>
      <c r="AG72" s="13">
        <f>AD72+AE72-AF72</f>
        <v>139</v>
      </c>
      <c r="AH72" s="61"/>
      <c r="AI72" s="199">
        <f>43</f>
        <v>43</v>
      </c>
      <c r="AJ72" s="13">
        <f>AG72+AH72-AI72</f>
        <v>96</v>
      </c>
      <c r="AK72" s="61">
        <f>-96+160</f>
        <v>64</v>
      </c>
      <c r="AL72" s="199">
        <f>66+29+1</f>
        <v>96</v>
      </c>
      <c r="AM72" s="13">
        <f>AJ72+AK72-AL72</f>
        <v>64</v>
      </c>
      <c r="AN72" s="61"/>
      <c r="AO72" s="199"/>
      <c r="AP72" s="13">
        <f>AM72+AN72-AO72</f>
        <v>64</v>
      </c>
      <c r="AQ72" s="61">
        <v>80</v>
      </c>
      <c r="AR72" s="199"/>
      <c r="AS72" s="13">
        <f>AP72+AQ72-AR72</f>
        <v>144</v>
      </c>
      <c r="AT72" s="61"/>
      <c r="AU72" s="199"/>
      <c r="AV72" s="13">
        <f>AS72+AT72-AU72</f>
        <v>144</v>
      </c>
      <c r="AW72" s="61"/>
      <c r="AX72" s="199">
        <f>61+47</f>
        <v>108</v>
      </c>
      <c r="AY72" s="13">
        <f>AV72+AW72-AX72</f>
        <v>36</v>
      </c>
      <c r="AZ72" s="61">
        <v>80</v>
      </c>
      <c r="BA72" s="199"/>
      <c r="BB72" s="13">
        <f>AY72+AZ72-BA72</f>
        <v>116</v>
      </c>
      <c r="BC72" s="61"/>
      <c r="BD72" s="199">
        <f>61+3+1+35</f>
        <v>100</v>
      </c>
      <c r="BE72" s="13">
        <f>BB72+BC72-BD72</f>
        <v>16</v>
      </c>
      <c r="BF72" s="61"/>
      <c r="BG72" s="199"/>
      <c r="BH72" s="13">
        <f>BE72+BF72-BG72</f>
        <v>16</v>
      </c>
      <c r="BI72" s="61"/>
      <c r="BJ72" s="199"/>
      <c r="BK72" s="13">
        <f>BH72+BI72-BJ72</f>
        <v>16</v>
      </c>
      <c r="BL72" s="61"/>
      <c r="BM72" s="199"/>
      <c r="BN72" s="13">
        <f>BK72+BL72-BM72</f>
        <v>16</v>
      </c>
      <c r="BO72" s="61"/>
      <c r="BP72" s="199"/>
      <c r="BQ72" s="13">
        <f>BN72+BO72-BP72</f>
        <v>16</v>
      </c>
      <c r="BR72" s="61"/>
      <c r="BS72" s="199"/>
      <c r="BT72" s="13">
        <f t="shared" si="37"/>
        <v>16</v>
      </c>
      <c r="BU72" s="61">
        <v>240</v>
      </c>
      <c r="BV72" s="199"/>
      <c r="BW72" s="13">
        <f>BT72+BU72-BV72</f>
        <v>256</v>
      </c>
      <c r="BX72" s="61"/>
      <c r="BY72" s="199">
        <f>40</f>
        <v>40</v>
      </c>
      <c r="BZ72" s="13">
        <f t="shared" si="38"/>
        <v>216</v>
      </c>
      <c r="CA72" s="61"/>
      <c r="CB72" s="199">
        <f>60+64+38</f>
        <v>162</v>
      </c>
      <c r="CC72" s="13">
        <f t="shared" si="39"/>
        <v>54</v>
      </c>
      <c r="CD72" s="61"/>
      <c r="CE72" s="199"/>
      <c r="CF72" s="13">
        <f t="shared" si="40"/>
        <v>54</v>
      </c>
      <c r="CG72" s="61"/>
      <c r="CH72" s="199"/>
      <c r="CI72" s="13">
        <f t="shared" si="46"/>
        <v>54</v>
      </c>
      <c r="CJ72" s="61"/>
      <c r="CK72" s="199"/>
      <c r="CL72" s="13">
        <f t="shared" si="47"/>
        <v>54</v>
      </c>
      <c r="CM72" s="61"/>
      <c r="CN72" s="199"/>
      <c r="CO72" s="13">
        <f t="shared" si="41"/>
        <v>54</v>
      </c>
      <c r="CP72" s="61">
        <v>46</v>
      </c>
      <c r="CQ72" s="199"/>
      <c r="CR72" s="13">
        <f t="shared" si="48"/>
        <v>100</v>
      </c>
      <c r="CS72" s="61"/>
      <c r="CT72" s="199"/>
      <c r="CU72" s="14">
        <f t="shared" si="42"/>
        <v>100</v>
      </c>
      <c r="CV72" s="46">
        <f t="shared" si="43"/>
        <v>854</v>
      </c>
      <c r="CW72" s="4">
        <f t="shared" si="43"/>
        <v>799</v>
      </c>
      <c r="CX72" s="45">
        <f t="shared" si="44"/>
        <v>100</v>
      </c>
      <c r="CY72" s="162">
        <v>45</v>
      </c>
      <c r="CZ72" s="171">
        <f t="shared" si="45"/>
        <v>4500</v>
      </c>
      <c r="DB72" s="2">
        <f t="shared" si="49"/>
        <v>100</v>
      </c>
      <c r="DC72" s="62"/>
      <c r="DD72" s="143"/>
      <c r="DE72" s="149">
        <f t="shared" si="50"/>
        <v>100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13</v>
      </c>
      <c r="G73" s="62"/>
      <c r="H73" s="143"/>
      <c r="I73" s="13">
        <f t="shared" ref="I73:I76" si="51">F73+G73-H73</f>
        <v>13</v>
      </c>
      <c r="J73" s="62"/>
      <c r="K73" s="143"/>
      <c r="L73" s="13">
        <f t="shared" ref="L73:L77" si="52">I73+J73-K73</f>
        <v>13</v>
      </c>
      <c r="M73" s="62"/>
      <c r="N73" s="143"/>
      <c r="O73" s="13">
        <f t="shared" ref="O73:O77" si="53">L73+M73-N73</f>
        <v>13</v>
      </c>
      <c r="P73" s="62"/>
      <c r="Q73" s="143"/>
      <c r="R73" s="30">
        <f t="shared" ref="R73:R77" si="54">O73+P73-Q73</f>
        <v>13</v>
      </c>
      <c r="S73" s="62"/>
      <c r="T73" s="143"/>
      <c r="U73" s="13">
        <f t="shared" ref="U73:U76" si="55">R73+S73-T73</f>
        <v>13</v>
      </c>
      <c r="V73" s="62"/>
      <c r="W73" s="143"/>
      <c r="X73" s="13">
        <f t="shared" ref="X73:X77" si="56">U73+V73-W73</f>
        <v>13</v>
      </c>
      <c r="Y73" s="62"/>
      <c r="Z73" s="143"/>
      <c r="AA73" s="13">
        <f t="shared" ref="AA73:AA94" si="57">X73+Y73-Z73</f>
        <v>13</v>
      </c>
      <c r="AB73" s="62"/>
      <c r="AC73" s="143"/>
      <c r="AD73" s="13">
        <f t="shared" ref="AD73:AD77" si="58">AA73+AB73-AC73</f>
        <v>13</v>
      </c>
      <c r="AE73" s="62"/>
      <c r="AF73" s="143"/>
      <c r="AG73" s="13">
        <f t="shared" ref="AG73:AG77" si="59">AD73+AE73-AF73</f>
        <v>13</v>
      </c>
      <c r="AH73" s="62"/>
      <c r="AI73" s="143"/>
      <c r="AJ73" s="13">
        <f t="shared" ref="AJ73:AJ77" si="60">AG73+AH73-AI73</f>
        <v>13</v>
      </c>
      <c r="AK73" s="62"/>
      <c r="AL73" s="143"/>
      <c r="AM73" s="13">
        <f t="shared" ref="AM73:AM77" si="61">AJ73+AK73-AL73</f>
        <v>13</v>
      </c>
      <c r="AN73" s="62"/>
      <c r="AO73" s="143"/>
      <c r="AP73" s="13">
        <f t="shared" ref="AP73:AP77" si="62">AM73+AN73-AO73</f>
        <v>13</v>
      </c>
      <c r="AQ73" s="62"/>
      <c r="AR73" s="143"/>
      <c r="AS73" s="13">
        <f t="shared" ref="AS73:AS77" si="63">AP73+AQ73-AR73</f>
        <v>13</v>
      </c>
      <c r="AT73" s="62"/>
      <c r="AU73" s="143"/>
      <c r="AV73" s="13">
        <f t="shared" ref="AV73:AV77" si="64">AS73+AT73-AU73</f>
        <v>13</v>
      </c>
      <c r="AW73" s="62"/>
      <c r="AX73" s="143"/>
      <c r="AY73" s="13">
        <f t="shared" ref="AY73:AY77" si="65">AV73+AW73-AX73</f>
        <v>13</v>
      </c>
      <c r="AZ73" s="62"/>
      <c r="BA73" s="143"/>
      <c r="BB73" s="13">
        <f t="shared" ref="BB73:BB77" si="66">AY73+AZ73-BA73</f>
        <v>13</v>
      </c>
      <c r="BC73" s="62"/>
      <c r="BD73" s="143"/>
      <c r="BE73" s="13">
        <f t="shared" ref="BE73:BE77" si="67">BB73+BC73-BD73</f>
        <v>13</v>
      </c>
      <c r="BF73" s="62"/>
      <c r="BG73" s="143"/>
      <c r="BH73" s="13">
        <f t="shared" ref="BH73:BH77" si="68">BE73+BF73-BG73</f>
        <v>13</v>
      </c>
      <c r="BI73" s="62"/>
      <c r="BJ73" s="143"/>
      <c r="BK73" s="13">
        <f t="shared" ref="BK73:BK77" si="69">BH73+BI73-BJ73</f>
        <v>13</v>
      </c>
      <c r="BL73" s="62"/>
      <c r="BM73" s="143"/>
      <c r="BN73" s="13">
        <f t="shared" ref="BN73:BN77" si="70">BK73+BL73-BM73</f>
        <v>13</v>
      </c>
      <c r="BO73" s="62"/>
      <c r="BP73" s="143"/>
      <c r="BQ73" s="13">
        <f t="shared" ref="BQ73:BQ77" si="71">BN73+BO73-BP73</f>
        <v>13</v>
      </c>
      <c r="BR73" s="62"/>
      <c r="BS73" s="143"/>
      <c r="BT73" s="13">
        <f t="shared" si="37"/>
        <v>13</v>
      </c>
      <c r="BU73" s="62"/>
      <c r="BV73" s="143"/>
      <c r="BW73" s="13">
        <f t="shared" ref="BW73:BW77" si="72">BT73+BU73-BV73</f>
        <v>13</v>
      </c>
      <c r="BX73" s="62"/>
      <c r="BY73" s="143"/>
      <c r="BZ73" s="13">
        <f t="shared" si="38"/>
        <v>13</v>
      </c>
      <c r="CA73" s="62"/>
      <c r="CB73" s="143"/>
      <c r="CC73" s="13">
        <f t="shared" si="39"/>
        <v>13</v>
      </c>
      <c r="CD73" s="62"/>
      <c r="CE73" s="143"/>
      <c r="CF73" s="13">
        <f t="shared" si="40"/>
        <v>13</v>
      </c>
      <c r="CG73" s="62"/>
      <c r="CH73" s="143"/>
      <c r="CI73" s="13">
        <f t="shared" si="46"/>
        <v>13</v>
      </c>
      <c r="CJ73" s="62"/>
      <c r="CK73" s="143"/>
      <c r="CL73" s="13">
        <f t="shared" si="47"/>
        <v>13</v>
      </c>
      <c r="CM73" s="62"/>
      <c r="CN73" s="143"/>
      <c r="CO73" s="13">
        <f t="shared" si="41"/>
        <v>13</v>
      </c>
      <c r="CP73" s="62"/>
      <c r="CQ73" s="143"/>
      <c r="CR73" s="13">
        <f t="shared" si="48"/>
        <v>13</v>
      </c>
      <c r="CS73" s="62"/>
      <c r="CT73" s="143"/>
      <c r="CU73" s="14">
        <f t="shared" si="42"/>
        <v>13</v>
      </c>
      <c r="CV73" s="5">
        <f t="shared" si="43"/>
        <v>0</v>
      </c>
      <c r="CW73" s="4">
        <f t="shared" si="43"/>
        <v>0</v>
      </c>
      <c r="CX73" s="6">
        <f t="shared" si="44"/>
        <v>13</v>
      </c>
      <c r="CY73" s="162">
        <v>214</v>
      </c>
      <c r="CZ73" s="171">
        <f t="shared" si="45"/>
        <v>2782</v>
      </c>
      <c r="DB73" s="2">
        <f t="shared" si="49"/>
        <v>13</v>
      </c>
      <c r="DC73" s="62"/>
      <c r="DD73" s="143"/>
      <c r="DE73" s="149">
        <f t="shared" si="50"/>
        <v>13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2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2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1</v>
      </c>
      <c r="G75" s="62"/>
      <c r="H75" s="143">
        <f>1</f>
        <v>1</v>
      </c>
      <c r="I75" s="13">
        <f t="shared" si="51"/>
        <v>0</v>
      </c>
      <c r="J75" s="62"/>
      <c r="K75" s="143"/>
      <c r="L75" s="13">
        <f>I75+J75-K75</f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1</v>
      </c>
      <c r="CX75" s="6">
        <f t="shared" si="44"/>
        <v>0</v>
      </c>
      <c r="CY75" s="162">
        <v>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>
        <f>-17+24</f>
        <v>7</v>
      </c>
      <c r="H76" s="143"/>
      <c r="I76" s="13">
        <f t="shared" si="51"/>
        <v>7</v>
      </c>
      <c r="J76" s="62">
        <f>-11+16</f>
        <v>5</v>
      </c>
      <c r="K76" s="143">
        <f>3+4</f>
        <v>7</v>
      </c>
      <c r="L76" s="13">
        <f t="shared" si="52"/>
        <v>5</v>
      </c>
      <c r="M76" s="62"/>
      <c r="N76" s="143"/>
      <c r="O76" s="13">
        <f t="shared" si="53"/>
        <v>5</v>
      </c>
      <c r="P76" s="62">
        <f>-11+16</f>
        <v>5</v>
      </c>
      <c r="Q76" s="143">
        <f>1+4</f>
        <v>5</v>
      </c>
      <c r="R76" s="30">
        <f t="shared" si="54"/>
        <v>5</v>
      </c>
      <c r="S76" s="62">
        <f>-2+8</f>
        <v>6</v>
      </c>
      <c r="T76" s="143">
        <f>1+4</f>
        <v>5</v>
      </c>
      <c r="U76" s="13">
        <f t="shared" si="55"/>
        <v>6</v>
      </c>
      <c r="V76" s="62">
        <f>-28+32</f>
        <v>4</v>
      </c>
      <c r="W76" s="143">
        <f>2+4</f>
        <v>6</v>
      </c>
      <c r="X76" s="13">
        <f t="shared" si="56"/>
        <v>4</v>
      </c>
      <c r="Y76" s="62"/>
      <c r="Z76" s="143"/>
      <c r="AA76" s="13">
        <f t="shared" si="57"/>
        <v>4</v>
      </c>
      <c r="AB76" s="62">
        <f>-21+24</f>
        <v>3</v>
      </c>
      <c r="AC76" s="143">
        <f>2+2</f>
        <v>4</v>
      </c>
      <c r="AD76" s="13">
        <f t="shared" si="58"/>
        <v>3</v>
      </c>
      <c r="AE76" s="62">
        <f>-22+28</f>
        <v>6</v>
      </c>
      <c r="AF76" s="143">
        <v>3</v>
      </c>
      <c r="AG76" s="13">
        <f t="shared" si="59"/>
        <v>6</v>
      </c>
      <c r="AH76" s="62"/>
      <c r="AI76" s="143"/>
      <c r="AJ76" s="13">
        <f t="shared" si="60"/>
        <v>6</v>
      </c>
      <c r="AK76" s="62">
        <v>12</v>
      </c>
      <c r="AL76" s="143">
        <f>2+12</f>
        <v>14</v>
      </c>
      <c r="AM76" s="13">
        <f t="shared" si="61"/>
        <v>4</v>
      </c>
      <c r="AN76" s="62">
        <f>-16+24</f>
        <v>8</v>
      </c>
      <c r="AO76" s="143">
        <f>1+3</f>
        <v>4</v>
      </c>
      <c r="AP76" s="13">
        <f t="shared" si="62"/>
        <v>8</v>
      </c>
      <c r="AQ76" s="62">
        <f>-30+36</f>
        <v>6</v>
      </c>
      <c r="AR76" s="143">
        <f>3+5</f>
        <v>8</v>
      </c>
      <c r="AS76" s="13">
        <f t="shared" si="63"/>
        <v>6</v>
      </c>
      <c r="AT76" s="62"/>
      <c r="AU76" s="143"/>
      <c r="AV76" s="13">
        <f t="shared" si="64"/>
        <v>6</v>
      </c>
      <c r="AW76" s="62">
        <f>-14+20</f>
        <v>6</v>
      </c>
      <c r="AX76" s="143">
        <f>2+4</f>
        <v>6</v>
      </c>
      <c r="AY76" s="13">
        <f t="shared" si="65"/>
        <v>6</v>
      </c>
      <c r="AZ76" s="62">
        <f>-24+28</f>
        <v>4</v>
      </c>
      <c r="BA76" s="143">
        <f>3+3</f>
        <v>6</v>
      </c>
      <c r="BB76" s="13">
        <f t="shared" si="66"/>
        <v>4</v>
      </c>
      <c r="BC76" s="62"/>
      <c r="BD76" s="143"/>
      <c r="BE76" s="13">
        <f t="shared" si="67"/>
        <v>4</v>
      </c>
      <c r="BF76" s="62">
        <f>-2+8</f>
        <v>6</v>
      </c>
      <c r="BG76" s="143">
        <f>2+1+1</f>
        <v>4</v>
      </c>
      <c r="BH76" s="13">
        <f t="shared" si="68"/>
        <v>6</v>
      </c>
      <c r="BI76" s="62">
        <f>-11+20</f>
        <v>9</v>
      </c>
      <c r="BJ76" s="143">
        <f>1+5</f>
        <v>6</v>
      </c>
      <c r="BK76" s="13">
        <f t="shared" si="69"/>
        <v>9</v>
      </c>
      <c r="BL76" s="62">
        <f>-16+30</f>
        <v>14</v>
      </c>
      <c r="BM76" s="143">
        <f>2+7</f>
        <v>9</v>
      </c>
      <c r="BN76" s="13">
        <f t="shared" si="70"/>
        <v>14</v>
      </c>
      <c r="BO76" s="62"/>
      <c r="BP76" s="143"/>
      <c r="BQ76" s="13">
        <f t="shared" si="71"/>
        <v>14</v>
      </c>
      <c r="BR76" s="62">
        <f>12+2</f>
        <v>14</v>
      </c>
      <c r="BS76" s="143">
        <f>1+5</f>
        <v>6</v>
      </c>
      <c r="BT76" s="13">
        <f t="shared" si="37"/>
        <v>22</v>
      </c>
      <c r="BU76" s="62">
        <v>8</v>
      </c>
      <c r="BV76" s="143">
        <v>14</v>
      </c>
      <c r="BW76" s="13">
        <f t="shared" si="72"/>
        <v>16</v>
      </c>
      <c r="BX76" s="62"/>
      <c r="BY76" s="143"/>
      <c r="BZ76" s="13">
        <f t="shared" si="38"/>
        <v>16</v>
      </c>
      <c r="CA76" s="62">
        <v>16</v>
      </c>
      <c r="CB76" s="143">
        <f>1+9</f>
        <v>10</v>
      </c>
      <c r="CC76" s="13">
        <f t="shared" si="39"/>
        <v>22</v>
      </c>
      <c r="CD76" s="62">
        <v>20</v>
      </c>
      <c r="CE76" s="143">
        <v>11</v>
      </c>
      <c r="CF76" s="13">
        <f t="shared" si="40"/>
        <v>31</v>
      </c>
      <c r="CG76" s="62">
        <v>12</v>
      </c>
      <c r="CH76" s="143">
        <f>6+19</f>
        <v>25</v>
      </c>
      <c r="CI76" s="13">
        <f t="shared" si="46"/>
        <v>18</v>
      </c>
      <c r="CJ76" s="62">
        <v>40</v>
      </c>
      <c r="CK76" s="143"/>
      <c r="CL76" s="13">
        <f t="shared" si="47"/>
        <v>58</v>
      </c>
      <c r="CM76" s="62"/>
      <c r="CN76" s="143">
        <f>2+3+10</f>
        <v>15</v>
      </c>
      <c r="CO76" s="13">
        <f t="shared" si="41"/>
        <v>43</v>
      </c>
      <c r="CP76" s="62"/>
      <c r="CQ76" s="143">
        <f>6+34</f>
        <v>40</v>
      </c>
      <c r="CR76" s="13">
        <f t="shared" si="48"/>
        <v>3</v>
      </c>
      <c r="CS76" s="62"/>
      <c r="CT76" s="143"/>
      <c r="CU76" s="14">
        <f t="shared" si="42"/>
        <v>3</v>
      </c>
      <c r="CV76" s="5">
        <f t="shared" si="43"/>
        <v>211</v>
      </c>
      <c r="CW76" s="4">
        <f t="shared" si="43"/>
        <v>208</v>
      </c>
      <c r="CX76" s="6">
        <f t="shared" si="44"/>
        <v>3</v>
      </c>
      <c r="CY76" s="162">
        <v>800</v>
      </c>
      <c r="CZ76" s="171">
        <f t="shared" si="45"/>
        <v>2400</v>
      </c>
      <c r="DB76" s="2">
        <f t="shared" si="49"/>
        <v>3</v>
      </c>
      <c r="DC76" s="62"/>
      <c r="DD76" s="143"/>
      <c r="DE76" s="149">
        <f t="shared" si="50"/>
        <v>3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23</v>
      </c>
      <c r="G77" s="62">
        <f>-7-13+36</f>
        <v>16</v>
      </c>
      <c r="H77" s="143">
        <f>12+11</f>
        <v>23</v>
      </c>
      <c r="I77" s="13">
        <f>F77+G77-H77</f>
        <v>16</v>
      </c>
      <c r="J77" s="62"/>
      <c r="K77" s="143">
        <f>10+5</f>
        <v>15</v>
      </c>
      <c r="L77" s="13">
        <f t="shared" si="52"/>
        <v>1</v>
      </c>
      <c r="M77" s="62">
        <f>-11-7-11+36</f>
        <v>7</v>
      </c>
      <c r="N77" s="143"/>
      <c r="O77" s="13">
        <f t="shared" si="53"/>
        <v>8</v>
      </c>
      <c r="P77" s="62">
        <v>36</v>
      </c>
      <c r="Q77" s="143">
        <f>12+7</f>
        <v>19</v>
      </c>
      <c r="R77" s="30">
        <f t="shared" si="54"/>
        <v>25</v>
      </c>
      <c r="S77" s="62"/>
      <c r="T77" s="143">
        <f>1+1</f>
        <v>2</v>
      </c>
      <c r="U77" s="13">
        <f>R77+S77-T77</f>
        <v>23</v>
      </c>
      <c r="V77" s="62"/>
      <c r="W77" s="143">
        <f>7</f>
        <v>7</v>
      </c>
      <c r="X77" s="13">
        <f t="shared" si="56"/>
        <v>16</v>
      </c>
      <c r="Y77" s="62"/>
      <c r="Z77" s="143"/>
      <c r="AA77" s="13">
        <f t="shared" si="57"/>
        <v>16</v>
      </c>
      <c r="AB77" s="62">
        <v>36</v>
      </c>
      <c r="AC77" s="143">
        <f>6+8+19</f>
        <v>33</v>
      </c>
      <c r="AD77" s="13">
        <f t="shared" si="58"/>
        <v>19</v>
      </c>
      <c r="AE77" s="62"/>
      <c r="AF77" s="143">
        <f>12+3+1</f>
        <v>16</v>
      </c>
      <c r="AG77" s="13">
        <f t="shared" si="59"/>
        <v>3</v>
      </c>
      <c r="AH77" s="62">
        <f>-15-7-16+36</f>
        <v>-2</v>
      </c>
      <c r="AI77" s="143"/>
      <c r="AJ77" s="13">
        <f t="shared" si="60"/>
        <v>1</v>
      </c>
      <c r="AK77" s="62">
        <v>36</v>
      </c>
      <c r="AL77" s="143">
        <f>11+7</f>
        <v>18</v>
      </c>
      <c r="AM77" s="13">
        <f t="shared" si="61"/>
        <v>19</v>
      </c>
      <c r="AN77" s="62"/>
      <c r="AO77" s="143">
        <f>10+2+1</f>
        <v>13</v>
      </c>
      <c r="AP77" s="13">
        <f t="shared" si="62"/>
        <v>6</v>
      </c>
      <c r="AQ77" s="62">
        <v>36</v>
      </c>
      <c r="AR77" s="143">
        <f>7</f>
        <v>7</v>
      </c>
      <c r="AS77" s="13">
        <f t="shared" si="63"/>
        <v>35</v>
      </c>
      <c r="AT77" s="62"/>
      <c r="AU77" s="143"/>
      <c r="AV77" s="13">
        <f t="shared" si="64"/>
        <v>35</v>
      </c>
      <c r="AW77" s="62">
        <v>36</v>
      </c>
      <c r="AX77" s="143">
        <f>7+7+24</f>
        <v>38</v>
      </c>
      <c r="AY77" s="13">
        <f t="shared" si="65"/>
        <v>33</v>
      </c>
      <c r="AZ77" s="62"/>
      <c r="BA77" s="143"/>
      <c r="BB77" s="13">
        <f t="shared" si="66"/>
        <v>33</v>
      </c>
      <c r="BC77" s="62">
        <v>36</v>
      </c>
      <c r="BD77" s="143">
        <f>11+3+10</f>
        <v>24</v>
      </c>
      <c r="BE77" s="13">
        <f t="shared" si="67"/>
        <v>45</v>
      </c>
      <c r="BF77" s="62"/>
      <c r="BG77" s="143">
        <f>12+7</f>
        <v>19</v>
      </c>
      <c r="BH77" s="13">
        <f t="shared" si="68"/>
        <v>26</v>
      </c>
      <c r="BI77" s="62"/>
      <c r="BJ77" s="143">
        <f>10+1</f>
        <v>11</v>
      </c>
      <c r="BK77" s="13">
        <f t="shared" si="69"/>
        <v>15</v>
      </c>
      <c r="BL77" s="62"/>
      <c r="BM77" s="143"/>
      <c r="BN77" s="13">
        <f t="shared" si="70"/>
        <v>15</v>
      </c>
      <c r="BO77" s="62"/>
      <c r="BP77" s="143"/>
      <c r="BQ77" s="13">
        <f t="shared" si="71"/>
        <v>15</v>
      </c>
      <c r="BR77" s="62">
        <v>36</v>
      </c>
      <c r="BS77" s="143">
        <f>5+7+1+19</f>
        <v>32</v>
      </c>
      <c r="BT77" s="13">
        <f t="shared" si="37"/>
        <v>19</v>
      </c>
      <c r="BU77" s="62"/>
      <c r="BV77" s="143">
        <f>1+12+2</f>
        <v>15</v>
      </c>
      <c r="BW77" s="13">
        <f t="shared" si="72"/>
        <v>4</v>
      </c>
      <c r="BX77" s="62">
        <f>-6-15+48</f>
        <v>27</v>
      </c>
      <c r="BY77" s="143">
        <f>4</f>
        <v>4</v>
      </c>
      <c r="BZ77" s="13">
        <f t="shared" si="38"/>
        <v>27</v>
      </c>
      <c r="CA77" s="62"/>
      <c r="CB77" s="143">
        <f>11+7</f>
        <v>18</v>
      </c>
      <c r="CC77" s="13">
        <f t="shared" si="39"/>
        <v>9</v>
      </c>
      <c r="CD77" s="62"/>
      <c r="CE77" s="143">
        <f>4+2</f>
        <v>6</v>
      </c>
      <c r="CF77" s="13">
        <f t="shared" si="40"/>
        <v>3</v>
      </c>
      <c r="CG77" s="62"/>
      <c r="CH77" s="143"/>
      <c r="CI77" s="13">
        <f t="shared" si="46"/>
        <v>3</v>
      </c>
      <c r="CJ77" s="62"/>
      <c r="CK77" s="143"/>
      <c r="CL77" s="13">
        <f t="shared" si="47"/>
        <v>3</v>
      </c>
      <c r="CM77" s="62"/>
      <c r="CN77" s="143">
        <v>1</v>
      </c>
      <c r="CO77" s="13">
        <f t="shared" si="41"/>
        <v>2</v>
      </c>
      <c r="CP77" s="62">
        <f>-2</f>
        <v>-2</v>
      </c>
      <c r="CQ77" s="143"/>
      <c r="CR77" s="13">
        <f t="shared" si="48"/>
        <v>0</v>
      </c>
      <c r="CS77" s="62"/>
      <c r="CT77" s="143"/>
      <c r="CU77" s="14">
        <f t="shared" si="42"/>
        <v>0</v>
      </c>
      <c r="CV77" s="5">
        <f t="shared" si="43"/>
        <v>298</v>
      </c>
      <c r="CW77" s="4">
        <f t="shared" si="43"/>
        <v>321</v>
      </c>
      <c r="CX77" s="6">
        <f t="shared" si="44"/>
        <v>0</v>
      </c>
      <c r="CY77" s="162">
        <v>205</v>
      </c>
      <c r="CZ77" s="171">
        <f t="shared" si="45"/>
        <v>0</v>
      </c>
      <c r="DB77" s="2">
        <f t="shared" si="49"/>
        <v>0</v>
      </c>
      <c r="DC77" s="62"/>
      <c r="DD77" s="143"/>
      <c r="DE77" s="149">
        <f t="shared" si="50"/>
        <v>0</v>
      </c>
    </row>
    <row r="78" spans="1:109" ht="15.75" customHeight="1">
      <c r="A78" s="33"/>
      <c r="B78" s="3" t="s">
        <v>337</v>
      </c>
      <c r="C78" s="109" t="s">
        <v>27</v>
      </c>
      <c r="D78" s="34"/>
      <c r="E78" s="211">
        <v>5</v>
      </c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>
        <v>10</v>
      </c>
      <c r="AO78" s="143"/>
      <c r="AP78" s="13">
        <f>AM78+AN78-AO78</f>
        <v>10</v>
      </c>
      <c r="AQ78" s="62"/>
      <c r="AR78" s="143"/>
      <c r="AS78" s="13">
        <f>AP78+AQ78-AR78</f>
        <v>10</v>
      </c>
      <c r="AT78" s="62"/>
      <c r="AU78" s="143"/>
      <c r="AV78" s="13">
        <f>AS78+AT78-AU78</f>
        <v>10</v>
      </c>
      <c r="AW78" s="62"/>
      <c r="AX78" s="143">
        <v>3</v>
      </c>
      <c r="AY78" s="13">
        <f>AV78+AW78-AX78</f>
        <v>7</v>
      </c>
      <c r="AZ78" s="62"/>
      <c r="BA78" s="143"/>
      <c r="BB78" s="13">
        <f>AY78+AZ78-BA78</f>
        <v>7</v>
      </c>
      <c r="BC78" s="62"/>
      <c r="BD78" s="143"/>
      <c r="BE78" s="13">
        <f>BB78+BC78-BD78</f>
        <v>7</v>
      </c>
      <c r="BF78" s="62">
        <v>5</v>
      </c>
      <c r="BG78" s="143"/>
      <c r="BH78" s="13">
        <f>BE78+BF78-BG78</f>
        <v>12</v>
      </c>
      <c r="BI78" s="62"/>
      <c r="BJ78" s="143">
        <f>4</f>
        <v>4</v>
      </c>
      <c r="BK78" s="13">
        <f>BH78+BI78-BJ78</f>
        <v>8</v>
      </c>
      <c r="BL78" s="62"/>
      <c r="BM78" s="143"/>
      <c r="BN78" s="13">
        <f>BK78+BL78-BM78</f>
        <v>8</v>
      </c>
      <c r="BO78" s="62"/>
      <c r="BP78" s="143"/>
      <c r="BQ78" s="13">
        <f>BN78+BO78-BP78</f>
        <v>8</v>
      </c>
      <c r="BR78" s="62"/>
      <c r="BS78" s="143">
        <v>1</v>
      </c>
      <c r="BT78" s="13">
        <f t="shared" si="37"/>
        <v>7</v>
      </c>
      <c r="BU78" s="62"/>
      <c r="BV78" s="143"/>
      <c r="BW78" s="13">
        <f>BT78+BU78-BV78</f>
        <v>7</v>
      </c>
      <c r="BX78" s="62"/>
      <c r="BY78" s="143"/>
      <c r="BZ78" s="13">
        <f t="shared" si="38"/>
        <v>7</v>
      </c>
      <c r="CA78" s="62">
        <v>5</v>
      </c>
      <c r="CB78" s="143"/>
      <c r="CC78" s="13">
        <f t="shared" si="39"/>
        <v>12</v>
      </c>
      <c r="CD78" s="62"/>
      <c r="CE78" s="143">
        <f>4+3+4</f>
        <v>11</v>
      </c>
      <c r="CF78" s="13">
        <f t="shared" si="40"/>
        <v>1</v>
      </c>
      <c r="CG78" s="62"/>
      <c r="CH78" s="143"/>
      <c r="CI78" s="13">
        <f t="shared" si="46"/>
        <v>1</v>
      </c>
      <c r="CJ78" s="62"/>
      <c r="CK78" s="143"/>
      <c r="CL78" s="13">
        <f t="shared" si="47"/>
        <v>1</v>
      </c>
      <c r="CM78" s="62"/>
      <c r="CN78" s="143"/>
      <c r="CO78" s="13">
        <f t="shared" si="41"/>
        <v>1</v>
      </c>
      <c r="CP78" s="62"/>
      <c r="CQ78" s="143"/>
      <c r="CR78" s="13">
        <f t="shared" si="48"/>
        <v>1</v>
      </c>
      <c r="CS78" s="62"/>
      <c r="CT78" s="143"/>
      <c r="CU78" s="14">
        <f t="shared" si="42"/>
        <v>1</v>
      </c>
      <c r="CV78" s="5">
        <f t="shared" si="43"/>
        <v>20</v>
      </c>
      <c r="CW78" s="4">
        <f t="shared" si="43"/>
        <v>19</v>
      </c>
      <c r="CX78" s="6">
        <v>0</v>
      </c>
      <c r="CY78" s="162"/>
      <c r="CZ78" s="171">
        <f t="shared" si="45"/>
        <v>0</v>
      </c>
      <c r="DB78" s="2">
        <f t="shared" si="49"/>
        <v>1</v>
      </c>
      <c r="DC78" s="62"/>
      <c r="DD78" s="143"/>
      <c r="DE78" s="149">
        <f t="shared" si="50"/>
        <v>1</v>
      </c>
    </row>
    <row r="79" spans="1:109" ht="15.75" customHeight="1">
      <c r="A79" s="33"/>
      <c r="B79" s="212" t="s">
        <v>338</v>
      </c>
      <c r="C79" s="213" t="s">
        <v>27</v>
      </c>
      <c r="D79" s="37"/>
      <c r="E79" s="37">
        <v>6</v>
      </c>
      <c r="F79" s="14">
        <v>2</v>
      </c>
      <c r="G79" s="62"/>
      <c r="H79" s="143"/>
      <c r="I79" s="13">
        <f t="shared" ref="I79:I94" si="73">F79+G79-H79</f>
        <v>2</v>
      </c>
      <c r="J79" s="62"/>
      <c r="K79" s="143"/>
      <c r="L79" s="13">
        <f t="shared" ref="L79:L94" si="74">I79+J79-K79</f>
        <v>2</v>
      </c>
      <c r="M79" s="62"/>
      <c r="N79" s="143"/>
      <c r="O79" s="13">
        <f t="shared" ref="O79:O94" si="75">L79+M79-N79</f>
        <v>2</v>
      </c>
      <c r="P79" s="62"/>
      <c r="Q79" s="143"/>
      <c r="R79" s="30">
        <f t="shared" ref="R79:R94" si="76">O79+P79-Q79</f>
        <v>2</v>
      </c>
      <c r="S79" s="62">
        <f>-2+6</f>
        <v>4</v>
      </c>
      <c r="T79" s="143">
        <f>2</f>
        <v>2</v>
      </c>
      <c r="U79" s="13">
        <f t="shared" ref="U79:U94" si="77">R79+S79-T79</f>
        <v>4</v>
      </c>
      <c r="V79" s="62"/>
      <c r="W79" s="143"/>
      <c r="X79" s="13">
        <f t="shared" ref="X79:X94" si="78">U79+V79-W79</f>
        <v>4</v>
      </c>
      <c r="Y79" s="62"/>
      <c r="Z79" s="143"/>
      <c r="AA79" s="13">
        <f t="shared" ref="AA79:AA84" si="79">X79+Y79-Z79</f>
        <v>4</v>
      </c>
      <c r="AB79" s="62"/>
      <c r="AC79" s="143"/>
      <c r="AD79" s="13">
        <f t="shared" ref="AD79:AD94" si="80">AA79+AB79-AC79</f>
        <v>4</v>
      </c>
      <c r="AE79" s="62"/>
      <c r="AF79" s="143"/>
      <c r="AG79" s="13">
        <f t="shared" ref="AG79:AG94" si="81">AD79+AE79-AF79</f>
        <v>4</v>
      </c>
      <c r="AH79" s="62"/>
      <c r="AI79" s="143"/>
      <c r="AJ79" s="13">
        <f t="shared" ref="AJ79:AJ94" si="82">AG79+AH79-AI79</f>
        <v>4</v>
      </c>
      <c r="AK79" s="62"/>
      <c r="AL79" s="143"/>
      <c r="AM79" s="13">
        <f t="shared" ref="AM79:AM94" si="83">AJ79+AK79-AL79</f>
        <v>4</v>
      </c>
      <c r="AN79" s="62"/>
      <c r="AO79" s="143">
        <f>3</f>
        <v>3</v>
      </c>
      <c r="AP79" s="13">
        <f t="shared" ref="AP79:AP94" si="84">AM79+AN79-AO79</f>
        <v>1</v>
      </c>
      <c r="AQ79" s="62"/>
      <c r="AR79" s="143"/>
      <c r="AS79" s="13">
        <f t="shared" ref="AS79:AS94" si="85">AP79+AQ79-AR79</f>
        <v>1</v>
      </c>
      <c r="AT79" s="62"/>
      <c r="AU79" s="143"/>
      <c r="AV79" s="13">
        <f t="shared" ref="AV79:AV94" si="86">AS79+AT79-AU79</f>
        <v>1</v>
      </c>
      <c r="AW79" s="62"/>
      <c r="AX79" s="143"/>
      <c r="AY79" s="13">
        <f t="shared" ref="AY79:AY94" si="87">AV79+AW79-AX79</f>
        <v>1</v>
      </c>
      <c r="AZ79" s="62"/>
      <c r="BA79" s="143"/>
      <c r="BB79" s="13">
        <f t="shared" ref="BB79:BB94" si="88">AY79+AZ79-BA79</f>
        <v>1</v>
      </c>
      <c r="BC79" s="62"/>
      <c r="BD79" s="143"/>
      <c r="BE79" s="13">
        <f t="shared" ref="BE79:BE94" si="89">BB79+BC79-BD79</f>
        <v>1</v>
      </c>
      <c r="BF79" s="62"/>
      <c r="BG79" s="143">
        <v>1</v>
      </c>
      <c r="BH79" s="13">
        <f t="shared" ref="BH79:BH94" si="90">BE79+BF79-BG79</f>
        <v>0</v>
      </c>
      <c r="BI79" s="62"/>
      <c r="BJ79" s="143"/>
      <c r="BK79" s="13">
        <f t="shared" ref="BK79:BK94" si="91">BH79+BI79-BJ79</f>
        <v>0</v>
      </c>
      <c r="BL79" s="62"/>
      <c r="BM79" s="143"/>
      <c r="BN79" s="13">
        <f t="shared" ref="BN79:BN94" si="92">BK79+BL79-BM79</f>
        <v>0</v>
      </c>
      <c r="BO79" s="62"/>
      <c r="BP79" s="143"/>
      <c r="BQ79" s="13">
        <f t="shared" ref="BQ79:BQ94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4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4</v>
      </c>
      <c r="CW79" s="4">
        <f t="shared" si="43"/>
        <v>6</v>
      </c>
      <c r="CX79" s="6">
        <f t="shared" ref="CX79:CX94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212" t="s">
        <v>335</v>
      </c>
      <c r="C80" s="213" t="s">
        <v>27</v>
      </c>
      <c r="D80" s="37"/>
      <c r="E80" s="37">
        <v>6</v>
      </c>
      <c r="F80" s="14">
        <v>5</v>
      </c>
      <c r="G80" s="62"/>
      <c r="H80" s="143"/>
      <c r="I80" s="13">
        <f t="shared" si="73"/>
        <v>5</v>
      </c>
      <c r="J80" s="62"/>
      <c r="K80" s="143">
        <v>1</v>
      </c>
      <c r="L80" s="13">
        <f t="shared" si="74"/>
        <v>4</v>
      </c>
      <c r="M80" s="62"/>
      <c r="N80" s="143"/>
      <c r="O80" s="13">
        <f t="shared" si="75"/>
        <v>4</v>
      </c>
      <c r="P80" s="62"/>
      <c r="Q80" s="143"/>
      <c r="R80" s="30">
        <f t="shared" si="76"/>
        <v>4</v>
      </c>
      <c r="S80" s="62"/>
      <c r="T80" s="143">
        <f>3</f>
        <v>3</v>
      </c>
      <c r="U80" s="13">
        <f t="shared" si="77"/>
        <v>1</v>
      </c>
      <c r="V80" s="62"/>
      <c r="W80" s="143"/>
      <c r="X80" s="30">
        <f t="shared" si="78"/>
        <v>1</v>
      </c>
      <c r="Y80" s="62"/>
      <c r="Z80" s="143"/>
      <c r="AA80" s="13">
        <f t="shared" si="79"/>
        <v>1</v>
      </c>
      <c r="AB80" s="62"/>
      <c r="AC80" s="143"/>
      <c r="AD80" s="13">
        <f t="shared" si="80"/>
        <v>1</v>
      </c>
      <c r="AE80" s="62"/>
      <c r="AF80" s="143"/>
      <c r="AG80" s="13">
        <f t="shared" si="81"/>
        <v>1</v>
      </c>
      <c r="AH80" s="62"/>
      <c r="AI80" s="143"/>
      <c r="AJ80" s="13">
        <f t="shared" si="82"/>
        <v>1</v>
      </c>
      <c r="AK80" s="62"/>
      <c r="AL80" s="143"/>
      <c r="AM80" s="13">
        <f t="shared" si="83"/>
        <v>1</v>
      </c>
      <c r="AN80" s="62"/>
      <c r="AO80" s="143">
        <v>1</v>
      </c>
      <c r="AP80" s="13">
        <f t="shared" si="84"/>
        <v>0</v>
      </c>
      <c r="AQ80" s="62"/>
      <c r="AR80" s="143"/>
      <c r="AS80" s="13">
        <f t="shared" si="85"/>
        <v>0</v>
      </c>
      <c r="AT80" s="62"/>
      <c r="AU80" s="143"/>
      <c r="AV80" s="13">
        <f t="shared" si="86"/>
        <v>0</v>
      </c>
      <c r="AW80" s="62"/>
      <c r="AX80" s="143"/>
      <c r="AY80" s="13">
        <f t="shared" si="87"/>
        <v>0</v>
      </c>
      <c r="AZ80" s="62"/>
      <c r="BA80" s="143"/>
      <c r="BB80" s="13">
        <f t="shared" si="88"/>
        <v>0</v>
      </c>
      <c r="BC80" s="62"/>
      <c r="BD80" s="143"/>
      <c r="BE80" s="13">
        <f t="shared" si="89"/>
        <v>0</v>
      </c>
      <c r="BF80" s="62"/>
      <c r="BG80" s="143"/>
      <c r="BH80" s="13">
        <f t="shared" si="90"/>
        <v>0</v>
      </c>
      <c r="BI80" s="62"/>
      <c r="BJ80" s="143"/>
      <c r="BK80" s="13">
        <f t="shared" si="91"/>
        <v>0</v>
      </c>
      <c r="BL80" s="62"/>
      <c r="BM80" s="143"/>
      <c r="BN80" s="13">
        <f t="shared" si="92"/>
        <v>0</v>
      </c>
      <c r="BO80" s="62"/>
      <c r="BP80" s="143"/>
      <c r="BQ80" s="13">
        <f t="shared" si="93"/>
        <v>0</v>
      </c>
      <c r="BR80" s="62"/>
      <c r="BS80" s="143"/>
      <c r="BT80" s="13">
        <f t="shared" si="37"/>
        <v>0</v>
      </c>
      <c r="BU80" s="62"/>
      <c r="BV80" s="143"/>
      <c r="BW80" s="13">
        <f t="shared" si="94"/>
        <v>0</v>
      </c>
      <c r="BX80" s="62"/>
      <c r="BY80" s="143"/>
      <c r="BZ80" s="13">
        <f t="shared" si="38"/>
        <v>0</v>
      </c>
      <c r="CA80" s="62"/>
      <c r="CB80" s="143"/>
      <c r="CC80" s="13">
        <f t="shared" si="39"/>
        <v>0</v>
      </c>
      <c r="CD80" s="62"/>
      <c r="CE80" s="143"/>
      <c r="CF80" s="13">
        <f t="shared" si="40"/>
        <v>0</v>
      </c>
      <c r="CG80" s="62"/>
      <c r="CH80" s="143"/>
      <c r="CI80" s="13">
        <f t="shared" si="46"/>
        <v>0</v>
      </c>
      <c r="CJ80" s="62"/>
      <c r="CK80" s="143"/>
      <c r="CL80" s="13">
        <f t="shared" si="47"/>
        <v>0</v>
      </c>
      <c r="CM80" s="62"/>
      <c r="CN80" s="143"/>
      <c r="CO80" s="13">
        <f t="shared" si="41"/>
        <v>0</v>
      </c>
      <c r="CP80" s="62"/>
      <c r="CQ80" s="143"/>
      <c r="CR80" s="13">
        <f t="shared" si="48"/>
        <v>0</v>
      </c>
      <c r="CS80" s="62"/>
      <c r="CT80" s="143"/>
      <c r="CU80" s="14">
        <f t="shared" si="42"/>
        <v>0</v>
      </c>
      <c r="CV80" s="5">
        <f t="shared" si="43"/>
        <v>0</v>
      </c>
      <c r="CW80" s="4">
        <f t="shared" si="43"/>
        <v>5</v>
      </c>
      <c r="CX80" s="6">
        <f t="shared" si="95"/>
        <v>0</v>
      </c>
      <c r="CY80" s="162">
        <v>3050</v>
      </c>
      <c r="CZ80" s="171">
        <f t="shared" si="45"/>
        <v>0</v>
      </c>
      <c r="DB80" s="2">
        <f t="shared" si="49"/>
        <v>0</v>
      </c>
      <c r="DC80" s="62"/>
      <c r="DD80" s="143"/>
      <c r="DE80" s="149">
        <f t="shared" si="50"/>
        <v>0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55</v>
      </c>
      <c r="G81" s="62"/>
      <c r="H81" s="143">
        <v>5</v>
      </c>
      <c r="I81" s="13">
        <f t="shared" si="73"/>
        <v>50</v>
      </c>
      <c r="J81" s="62"/>
      <c r="K81" s="143">
        <v>5</v>
      </c>
      <c r="L81" s="13">
        <f t="shared" si="74"/>
        <v>45</v>
      </c>
      <c r="M81" s="62"/>
      <c r="N81" s="143"/>
      <c r="O81" s="13">
        <f t="shared" si="75"/>
        <v>45</v>
      </c>
      <c r="P81" s="62">
        <v>28</v>
      </c>
      <c r="Q81" s="143">
        <v>6</v>
      </c>
      <c r="R81" s="13">
        <f t="shared" si="76"/>
        <v>67</v>
      </c>
      <c r="S81" s="62"/>
      <c r="T81" s="143">
        <v>1</v>
      </c>
      <c r="U81" s="13">
        <f t="shared" si="77"/>
        <v>66</v>
      </c>
      <c r="V81" s="62"/>
      <c r="W81" s="143">
        <v>8</v>
      </c>
      <c r="X81" s="13">
        <f t="shared" si="78"/>
        <v>58</v>
      </c>
      <c r="Y81" s="62"/>
      <c r="Z81" s="143"/>
      <c r="AA81" s="13">
        <f t="shared" si="79"/>
        <v>58</v>
      </c>
      <c r="AB81" s="62"/>
      <c r="AC81" s="143">
        <v>2</v>
      </c>
      <c r="AD81" s="13">
        <f t="shared" si="80"/>
        <v>56</v>
      </c>
      <c r="AE81" s="62"/>
      <c r="AF81" s="143">
        <v>7</v>
      </c>
      <c r="AG81" s="13">
        <f t="shared" si="81"/>
        <v>49</v>
      </c>
      <c r="AH81" s="62"/>
      <c r="AI81" s="143"/>
      <c r="AJ81" s="13">
        <f t="shared" si="82"/>
        <v>49</v>
      </c>
      <c r="AK81" s="62">
        <v>29</v>
      </c>
      <c r="AL81" s="143">
        <v>6</v>
      </c>
      <c r="AM81" s="13">
        <f t="shared" si="83"/>
        <v>72</v>
      </c>
      <c r="AN81" s="62"/>
      <c r="AO81" s="143">
        <v>1</v>
      </c>
      <c r="AP81" s="13">
        <f t="shared" si="84"/>
        <v>71</v>
      </c>
      <c r="AQ81" s="62"/>
      <c r="AR81" s="143">
        <v>8</v>
      </c>
      <c r="AS81" s="13">
        <f t="shared" si="85"/>
        <v>63</v>
      </c>
      <c r="AT81" s="62"/>
      <c r="AU81" s="143"/>
      <c r="AV81" s="13">
        <f t="shared" si="86"/>
        <v>63</v>
      </c>
      <c r="AW81" s="62"/>
      <c r="AX81" s="143">
        <v>5</v>
      </c>
      <c r="AY81" s="13">
        <f t="shared" si="87"/>
        <v>58</v>
      </c>
      <c r="AZ81" s="62"/>
      <c r="BA81" s="143">
        <v>6</v>
      </c>
      <c r="BB81" s="13">
        <f t="shared" si="88"/>
        <v>52</v>
      </c>
      <c r="BC81" s="62"/>
      <c r="BD81" s="143"/>
      <c r="BE81" s="13">
        <f t="shared" si="89"/>
        <v>52</v>
      </c>
      <c r="BF81" s="62"/>
      <c r="BG81" s="143">
        <v>4</v>
      </c>
      <c r="BH81" s="13">
        <f t="shared" si="90"/>
        <v>48</v>
      </c>
      <c r="BI81" s="62"/>
      <c r="BJ81" s="143">
        <v>5</v>
      </c>
      <c r="BK81" s="13">
        <f t="shared" si="91"/>
        <v>43</v>
      </c>
      <c r="BL81" s="62"/>
      <c r="BM81" s="143">
        <v>11</v>
      </c>
      <c r="BN81" s="13">
        <f t="shared" si="92"/>
        <v>32</v>
      </c>
      <c r="BO81" s="62"/>
      <c r="BP81" s="143"/>
      <c r="BQ81" s="13">
        <f t="shared" si="93"/>
        <v>32</v>
      </c>
      <c r="BR81" s="62"/>
      <c r="BS81" s="143">
        <v>3</v>
      </c>
      <c r="BT81" s="13">
        <f t="shared" si="37"/>
        <v>29</v>
      </c>
      <c r="BU81" s="62"/>
      <c r="BV81" s="143">
        <v>7</v>
      </c>
      <c r="BW81" s="13">
        <f t="shared" si="94"/>
        <v>22</v>
      </c>
      <c r="BX81" s="62"/>
      <c r="BY81" s="143"/>
      <c r="BZ81" s="13">
        <f t="shared" si="38"/>
        <v>22</v>
      </c>
      <c r="CA81" s="62">
        <v>28</v>
      </c>
      <c r="CB81" s="143">
        <v>5</v>
      </c>
      <c r="CC81" s="13">
        <f t="shared" si="39"/>
        <v>45</v>
      </c>
      <c r="CD81" s="62"/>
      <c r="CE81" s="143">
        <v>5</v>
      </c>
      <c r="CF81" s="13">
        <f t="shared" si="40"/>
        <v>40</v>
      </c>
      <c r="CG81" s="62"/>
      <c r="CH81" s="143">
        <v>10</v>
      </c>
      <c r="CI81" s="13">
        <f t="shared" si="46"/>
        <v>30</v>
      </c>
      <c r="CJ81" s="62"/>
      <c r="CK81" s="143"/>
      <c r="CL81" s="13">
        <f t="shared" si="47"/>
        <v>30</v>
      </c>
      <c r="CM81" s="62"/>
      <c r="CN81" s="143">
        <f>-1+3</f>
        <v>2</v>
      </c>
      <c r="CO81" s="13">
        <f t="shared" si="41"/>
        <v>28</v>
      </c>
      <c r="CP81" s="62"/>
      <c r="CQ81" s="143"/>
      <c r="CR81" s="13">
        <f t="shared" si="48"/>
        <v>28</v>
      </c>
      <c r="CS81" s="62"/>
      <c r="CT81" s="143"/>
      <c r="CU81" s="14">
        <f t="shared" si="42"/>
        <v>28</v>
      </c>
      <c r="CV81" s="5">
        <f t="shared" si="43"/>
        <v>85</v>
      </c>
      <c r="CW81" s="4">
        <f t="shared" si="43"/>
        <v>112</v>
      </c>
      <c r="CX81" s="6">
        <f t="shared" si="95"/>
        <v>28</v>
      </c>
      <c r="CY81" s="162"/>
      <c r="CZ81" s="171">
        <f t="shared" si="45"/>
        <v>0</v>
      </c>
      <c r="DB81" s="2">
        <f t="shared" si="49"/>
        <v>28</v>
      </c>
      <c r="DC81" s="62"/>
      <c r="DD81" s="143"/>
      <c r="DE81" s="149">
        <f t="shared" si="50"/>
        <v>28</v>
      </c>
    </row>
    <row r="82" spans="1:109" ht="15.75" customHeight="1">
      <c r="A82" s="33"/>
      <c r="B82" s="42" t="s">
        <v>326</v>
      </c>
      <c r="C82" s="112" t="s">
        <v>51</v>
      </c>
      <c r="D82" s="43"/>
      <c r="E82" s="34">
        <v>10</v>
      </c>
      <c r="F82" s="14">
        <v>14</v>
      </c>
      <c r="G82" s="62">
        <v>1</v>
      </c>
      <c r="H82" s="143">
        <v>2</v>
      </c>
      <c r="I82" s="13">
        <f t="shared" si="73"/>
        <v>13</v>
      </c>
      <c r="J82" s="62"/>
      <c r="K82" s="143"/>
      <c r="L82" s="13">
        <f t="shared" si="74"/>
        <v>13</v>
      </c>
      <c r="M82" s="62"/>
      <c r="N82" s="143"/>
      <c r="O82" s="13">
        <f t="shared" si="75"/>
        <v>13</v>
      </c>
      <c r="P82" s="62"/>
      <c r="Q82" s="143"/>
      <c r="R82" s="13">
        <f t="shared" si="76"/>
        <v>13</v>
      </c>
      <c r="S82" s="62"/>
      <c r="T82" s="143"/>
      <c r="U82" s="13">
        <f t="shared" si="77"/>
        <v>13</v>
      </c>
      <c r="V82" s="62"/>
      <c r="W82" s="143"/>
      <c r="X82" s="13">
        <f t="shared" si="78"/>
        <v>13</v>
      </c>
      <c r="Y82" s="62"/>
      <c r="Z82" s="143"/>
      <c r="AA82" s="13">
        <f t="shared" si="79"/>
        <v>13</v>
      </c>
      <c r="AB82" s="62"/>
      <c r="AC82" s="143"/>
      <c r="AD82" s="13">
        <f t="shared" si="80"/>
        <v>13</v>
      </c>
      <c r="AE82" s="62"/>
      <c r="AF82" s="143"/>
      <c r="AG82" s="13">
        <f t="shared" si="81"/>
        <v>13</v>
      </c>
      <c r="AH82" s="62"/>
      <c r="AI82" s="143"/>
      <c r="AJ82" s="13">
        <f t="shared" si="82"/>
        <v>13</v>
      </c>
      <c r="AK82" s="62"/>
      <c r="AL82" s="143"/>
      <c r="AM82" s="13">
        <f t="shared" si="83"/>
        <v>13</v>
      </c>
      <c r="AN82" s="62"/>
      <c r="AO82" s="143"/>
      <c r="AP82" s="13">
        <f t="shared" si="84"/>
        <v>13</v>
      </c>
      <c r="AQ82" s="62"/>
      <c r="AR82" s="190">
        <f>1+1</f>
        <v>2</v>
      </c>
      <c r="AS82" s="13">
        <f t="shared" si="85"/>
        <v>11</v>
      </c>
      <c r="AT82" s="62"/>
      <c r="AU82" s="190">
        <v>6</v>
      </c>
      <c r="AV82" s="13">
        <f t="shared" si="86"/>
        <v>5</v>
      </c>
      <c r="AW82" s="62"/>
      <c r="AX82" s="143"/>
      <c r="AY82" s="13">
        <f t="shared" si="87"/>
        <v>5</v>
      </c>
      <c r="AZ82" s="62"/>
      <c r="BA82" s="143"/>
      <c r="BB82" s="13">
        <f t="shared" si="88"/>
        <v>5</v>
      </c>
      <c r="BC82" s="62"/>
      <c r="BD82" s="143"/>
      <c r="BE82" s="13">
        <f t="shared" si="89"/>
        <v>5</v>
      </c>
      <c r="BF82" s="62"/>
      <c r="BG82" s="143"/>
      <c r="BH82" s="13">
        <f t="shared" si="90"/>
        <v>5</v>
      </c>
      <c r="BI82" s="62"/>
      <c r="BJ82" s="143"/>
      <c r="BK82" s="13">
        <f t="shared" si="91"/>
        <v>5</v>
      </c>
      <c r="BL82" s="62"/>
      <c r="BM82" s="143"/>
      <c r="BN82" s="13">
        <f t="shared" si="92"/>
        <v>5</v>
      </c>
      <c r="BO82" s="62"/>
      <c r="BP82" s="143"/>
      <c r="BQ82" s="13">
        <f t="shared" si="93"/>
        <v>5</v>
      </c>
      <c r="BR82" s="62"/>
      <c r="BS82" s="143"/>
      <c r="BT82" s="13">
        <f t="shared" si="37"/>
        <v>5</v>
      </c>
      <c r="BU82" s="62"/>
      <c r="BV82" s="143"/>
      <c r="BW82" s="13">
        <f t="shared" si="94"/>
        <v>5</v>
      </c>
      <c r="BX82" s="62"/>
      <c r="BY82" s="143"/>
      <c r="BZ82" s="13">
        <f t="shared" si="38"/>
        <v>5</v>
      </c>
      <c r="CA82" s="62"/>
      <c r="CB82" s="143"/>
      <c r="CC82" s="13">
        <f t="shared" si="39"/>
        <v>5</v>
      </c>
      <c r="CD82" s="62"/>
      <c r="CE82" s="143"/>
      <c r="CF82" s="13">
        <f t="shared" si="40"/>
        <v>5</v>
      </c>
      <c r="CG82" s="62"/>
      <c r="CH82" s="143"/>
      <c r="CI82" s="13">
        <f t="shared" si="46"/>
        <v>5</v>
      </c>
      <c r="CJ82" s="62"/>
      <c r="CK82" s="143"/>
      <c r="CL82" s="13">
        <f t="shared" si="47"/>
        <v>5</v>
      </c>
      <c r="CM82" s="62"/>
      <c r="CN82" s="143"/>
      <c r="CO82" s="13">
        <f t="shared" si="41"/>
        <v>5</v>
      </c>
      <c r="CP82" s="62"/>
      <c r="CQ82" s="143"/>
      <c r="CR82" s="13">
        <f t="shared" si="48"/>
        <v>5</v>
      </c>
      <c r="CS82" s="62"/>
      <c r="CT82" s="143"/>
      <c r="CU82" s="14">
        <f t="shared" si="42"/>
        <v>5</v>
      </c>
      <c r="CV82" s="5">
        <f t="shared" si="43"/>
        <v>1</v>
      </c>
      <c r="CW82" s="4">
        <f t="shared" si="43"/>
        <v>10</v>
      </c>
      <c r="CX82" s="6">
        <f t="shared" si="95"/>
        <v>5</v>
      </c>
      <c r="CY82" s="163"/>
      <c r="CZ82" s="171">
        <f t="shared" si="45"/>
        <v>0</v>
      </c>
      <c r="DB82" s="2">
        <f t="shared" si="49"/>
        <v>5</v>
      </c>
      <c r="DC82" s="62"/>
      <c r="DD82" s="143"/>
      <c r="DE82" s="149">
        <f t="shared" si="50"/>
        <v>5</v>
      </c>
    </row>
    <row r="83" spans="1:109" ht="15.75" customHeight="1">
      <c r="A83" s="33" t="s">
        <v>120</v>
      </c>
      <c r="B83" s="49" t="s">
        <v>121</v>
      </c>
      <c r="C83" s="111" t="s">
        <v>27</v>
      </c>
      <c r="D83" s="52">
        <v>18</v>
      </c>
      <c r="E83" s="53" t="s">
        <v>122</v>
      </c>
      <c r="F83" s="14">
        <v>11</v>
      </c>
      <c r="G83" s="62"/>
      <c r="H83" s="143">
        <v>3</v>
      </c>
      <c r="I83" s="13">
        <f t="shared" si="73"/>
        <v>8</v>
      </c>
      <c r="J83" s="62"/>
      <c r="K83" s="143">
        <f>1+3</f>
        <v>4</v>
      </c>
      <c r="L83" s="13">
        <f t="shared" si="74"/>
        <v>4</v>
      </c>
      <c r="M83" s="62"/>
      <c r="N83" s="143"/>
      <c r="O83" s="13">
        <f t="shared" si="75"/>
        <v>4</v>
      </c>
      <c r="P83" s="62">
        <v>6</v>
      </c>
      <c r="Q83" s="143"/>
      <c r="R83" s="30">
        <f t="shared" si="76"/>
        <v>10</v>
      </c>
      <c r="S83" s="62"/>
      <c r="T83" s="143">
        <v>2</v>
      </c>
      <c r="U83" s="13">
        <f t="shared" si="77"/>
        <v>8</v>
      </c>
      <c r="V83" s="62"/>
      <c r="W83" s="143">
        <v>3</v>
      </c>
      <c r="X83" s="13">
        <f t="shared" si="78"/>
        <v>5</v>
      </c>
      <c r="Y83" s="62"/>
      <c r="Z83" s="143"/>
      <c r="AA83" s="13">
        <f t="shared" si="79"/>
        <v>5</v>
      </c>
      <c r="AB83" s="62">
        <v>6</v>
      </c>
      <c r="AC83" s="143">
        <v>2</v>
      </c>
      <c r="AD83" s="13">
        <f t="shared" si="80"/>
        <v>9</v>
      </c>
      <c r="AE83" s="62"/>
      <c r="AF83" s="143">
        <v>2</v>
      </c>
      <c r="AG83" s="13">
        <f t="shared" si="81"/>
        <v>7</v>
      </c>
      <c r="AH83" s="62"/>
      <c r="AI83" s="143"/>
      <c r="AJ83" s="13">
        <f t="shared" si="82"/>
        <v>7</v>
      </c>
      <c r="AK83" s="62"/>
      <c r="AL83" s="143">
        <v>2</v>
      </c>
      <c r="AM83" s="13">
        <f t="shared" si="83"/>
        <v>5</v>
      </c>
      <c r="AN83" s="62"/>
      <c r="AO83" s="143">
        <f>1+2</f>
        <v>3</v>
      </c>
      <c r="AP83" s="13">
        <f t="shared" si="84"/>
        <v>2</v>
      </c>
      <c r="AQ83" s="62"/>
      <c r="AR83" s="143"/>
      <c r="AS83" s="13">
        <f t="shared" si="85"/>
        <v>2</v>
      </c>
      <c r="AT83" s="62"/>
      <c r="AU83" s="143"/>
      <c r="AV83" s="13">
        <f t="shared" si="86"/>
        <v>2</v>
      </c>
      <c r="AW83" s="62">
        <v>6</v>
      </c>
      <c r="AX83" s="143">
        <v>3</v>
      </c>
      <c r="AY83" s="13">
        <f t="shared" si="87"/>
        <v>5</v>
      </c>
      <c r="AZ83" s="62"/>
      <c r="BA83" s="143">
        <v>1</v>
      </c>
      <c r="BB83" s="13">
        <f t="shared" si="88"/>
        <v>4</v>
      </c>
      <c r="BC83" s="62"/>
      <c r="BD83" s="143"/>
      <c r="BE83" s="13">
        <f t="shared" si="89"/>
        <v>4</v>
      </c>
      <c r="BF83" s="62">
        <v>6</v>
      </c>
      <c r="BG83" s="143">
        <v>1</v>
      </c>
      <c r="BH83" s="13">
        <f t="shared" si="90"/>
        <v>9</v>
      </c>
      <c r="BI83" s="62"/>
      <c r="BJ83" s="143">
        <f>1+1</f>
        <v>2</v>
      </c>
      <c r="BK83" s="13">
        <f t="shared" si="91"/>
        <v>7</v>
      </c>
      <c r="BL83" s="62"/>
      <c r="BM83" s="143"/>
      <c r="BN83" s="13">
        <f t="shared" si="92"/>
        <v>7</v>
      </c>
      <c r="BO83" s="62"/>
      <c r="BP83" s="143"/>
      <c r="BQ83" s="13">
        <f t="shared" si="93"/>
        <v>7</v>
      </c>
      <c r="BR83" s="62"/>
      <c r="BS83" s="143">
        <v>2</v>
      </c>
      <c r="BT83" s="13">
        <f t="shared" si="37"/>
        <v>5</v>
      </c>
      <c r="BU83" s="62"/>
      <c r="BV83" s="143"/>
      <c r="BW83" s="13">
        <f t="shared" si="94"/>
        <v>5</v>
      </c>
      <c r="BX83" s="62"/>
      <c r="BY83" s="143"/>
      <c r="BZ83" s="13">
        <f t="shared" si="38"/>
        <v>5</v>
      </c>
      <c r="CA83" s="62">
        <v>6</v>
      </c>
      <c r="CB83" s="143">
        <v>1</v>
      </c>
      <c r="CC83" s="13">
        <f t="shared" si="39"/>
        <v>10</v>
      </c>
      <c r="CD83" s="62"/>
      <c r="CE83" s="143">
        <v>2</v>
      </c>
      <c r="CF83" s="13">
        <f t="shared" si="40"/>
        <v>8</v>
      </c>
      <c r="CG83" s="62"/>
      <c r="CH83" s="143">
        <v>3</v>
      </c>
      <c r="CI83" s="13">
        <f t="shared" si="46"/>
        <v>5</v>
      </c>
      <c r="CJ83" s="62"/>
      <c r="CK83" s="143"/>
      <c r="CL83" s="13">
        <f t="shared" si="47"/>
        <v>5</v>
      </c>
      <c r="CM83" s="62">
        <v>4</v>
      </c>
      <c r="CN83" s="143"/>
      <c r="CO83" s="13">
        <f t="shared" si="41"/>
        <v>9</v>
      </c>
      <c r="CP83" s="62"/>
      <c r="CQ83" s="143">
        <v>4</v>
      </c>
      <c r="CR83" s="13">
        <f t="shared" si="48"/>
        <v>5</v>
      </c>
      <c r="CS83" s="62"/>
      <c r="CT83" s="143"/>
      <c r="CU83" s="14">
        <f t="shared" si="42"/>
        <v>5</v>
      </c>
      <c r="CV83" s="129">
        <f t="shared" si="43"/>
        <v>34</v>
      </c>
      <c r="CW83" s="130">
        <f t="shared" si="43"/>
        <v>40</v>
      </c>
      <c r="CX83" s="131">
        <f t="shared" si="95"/>
        <v>5</v>
      </c>
      <c r="CY83" s="163">
        <v>0</v>
      </c>
      <c r="CZ83" s="172">
        <f t="shared" si="45"/>
        <v>0</v>
      </c>
      <c r="DB83" s="2">
        <f t="shared" si="49"/>
        <v>5</v>
      </c>
      <c r="DC83" s="62"/>
      <c r="DD83" s="143"/>
      <c r="DE83" s="149">
        <f t="shared" si="50"/>
        <v>5</v>
      </c>
    </row>
    <row r="84" spans="1:109" ht="15.75" customHeight="1">
      <c r="A84" s="33" t="s">
        <v>123</v>
      </c>
      <c r="B84" s="49" t="s">
        <v>124</v>
      </c>
      <c r="C84" s="111" t="s">
        <v>27</v>
      </c>
      <c r="D84" s="52">
        <v>168</v>
      </c>
      <c r="E84" s="53" t="s">
        <v>125</v>
      </c>
      <c r="F84" s="14">
        <v>53</v>
      </c>
      <c r="G84" s="62"/>
      <c r="H84" s="143">
        <v>22</v>
      </c>
      <c r="I84" s="13">
        <f t="shared" si="73"/>
        <v>31</v>
      </c>
      <c r="J84" s="62">
        <v>24</v>
      </c>
      <c r="K84" s="143">
        <f>4+21</f>
        <v>25</v>
      </c>
      <c r="L84" s="13">
        <f t="shared" si="74"/>
        <v>30</v>
      </c>
      <c r="M84" s="62"/>
      <c r="N84" s="143"/>
      <c r="O84" s="13">
        <f t="shared" si="75"/>
        <v>30</v>
      </c>
      <c r="P84" s="62">
        <v>72</v>
      </c>
      <c r="Q84" s="143">
        <f>2+19</f>
        <v>21</v>
      </c>
      <c r="R84" s="30">
        <f t="shared" si="76"/>
        <v>81</v>
      </c>
      <c r="S84" s="62"/>
      <c r="T84" s="143">
        <f>2+7</f>
        <v>9</v>
      </c>
      <c r="U84" s="13">
        <f t="shared" si="77"/>
        <v>72</v>
      </c>
      <c r="V84" s="62"/>
      <c r="W84" s="143">
        <f>2+23</f>
        <v>25</v>
      </c>
      <c r="X84" s="13">
        <f>U84+V84-W84</f>
        <v>47</v>
      </c>
      <c r="Y84" s="62"/>
      <c r="Z84" s="143"/>
      <c r="AA84" s="13">
        <f t="shared" si="79"/>
        <v>47</v>
      </c>
      <c r="AB84" s="62">
        <v>36</v>
      </c>
      <c r="AC84" s="143">
        <f>4+11</f>
        <v>15</v>
      </c>
      <c r="AD84" s="13">
        <f t="shared" si="80"/>
        <v>68</v>
      </c>
      <c r="AE84" s="62"/>
      <c r="AF84" s="143">
        <f>2+14</f>
        <v>16</v>
      </c>
      <c r="AG84" s="13">
        <f t="shared" si="81"/>
        <v>52</v>
      </c>
      <c r="AH84" s="62"/>
      <c r="AI84" s="143"/>
      <c r="AJ84" s="13">
        <f t="shared" si="82"/>
        <v>52</v>
      </c>
      <c r="AK84" s="62">
        <v>12</v>
      </c>
      <c r="AL84" s="143">
        <v>15</v>
      </c>
      <c r="AM84" s="13">
        <f t="shared" si="83"/>
        <v>49</v>
      </c>
      <c r="AN84" s="62"/>
      <c r="AO84" s="143">
        <v>15</v>
      </c>
      <c r="AP84" s="13">
        <f t="shared" si="84"/>
        <v>34</v>
      </c>
      <c r="AQ84" s="62">
        <v>48</v>
      </c>
      <c r="AR84" s="143">
        <f>2+20</f>
        <v>22</v>
      </c>
      <c r="AS84" s="13">
        <f t="shared" si="85"/>
        <v>60</v>
      </c>
      <c r="AT84" s="62"/>
      <c r="AU84" s="143"/>
      <c r="AV84" s="13">
        <f t="shared" si="86"/>
        <v>60</v>
      </c>
      <c r="AW84" s="62"/>
      <c r="AX84" s="143">
        <f>2+9</f>
        <v>11</v>
      </c>
      <c r="AY84" s="13">
        <f t="shared" si="87"/>
        <v>49</v>
      </c>
      <c r="AZ84" s="62"/>
      <c r="BA84" s="143">
        <f>2+16</f>
        <v>18</v>
      </c>
      <c r="BB84" s="13">
        <f t="shared" si="88"/>
        <v>31</v>
      </c>
      <c r="BC84" s="62"/>
      <c r="BD84" s="143"/>
      <c r="BE84" s="13">
        <f t="shared" si="89"/>
        <v>31</v>
      </c>
      <c r="BF84" s="62">
        <v>48</v>
      </c>
      <c r="BG84" s="143">
        <v>4</v>
      </c>
      <c r="BH84" s="13">
        <f t="shared" si="90"/>
        <v>75</v>
      </c>
      <c r="BI84" s="62"/>
      <c r="BJ84" s="143">
        <v>13</v>
      </c>
      <c r="BK84" s="13">
        <f t="shared" si="91"/>
        <v>62</v>
      </c>
      <c r="BL84" s="62"/>
      <c r="BM84" s="143">
        <f>2+20</f>
        <v>22</v>
      </c>
      <c r="BN84" s="13">
        <f t="shared" si="92"/>
        <v>40</v>
      </c>
      <c r="BO84" s="62"/>
      <c r="BP84" s="143"/>
      <c r="BQ84" s="13">
        <f t="shared" si="93"/>
        <v>40</v>
      </c>
      <c r="BR84" s="62">
        <v>24</v>
      </c>
      <c r="BS84" s="143">
        <f>2+4</f>
        <v>6</v>
      </c>
      <c r="BT84" s="13">
        <f t="shared" si="37"/>
        <v>58</v>
      </c>
      <c r="BU84" s="62"/>
      <c r="BV84" s="143">
        <v>24</v>
      </c>
      <c r="BW84" s="13">
        <f t="shared" si="94"/>
        <v>34</v>
      </c>
      <c r="BX84" s="62"/>
      <c r="BY84" s="143"/>
      <c r="BZ84" s="13">
        <f t="shared" si="38"/>
        <v>34</v>
      </c>
      <c r="CA84" s="62">
        <v>48</v>
      </c>
      <c r="CB84" s="143">
        <v>25</v>
      </c>
      <c r="CC84" s="13">
        <f t="shared" si="39"/>
        <v>57</v>
      </c>
      <c r="CD84" s="62"/>
      <c r="CE84" s="143">
        <f>32+13</f>
        <v>45</v>
      </c>
      <c r="CF84" s="13">
        <f t="shared" si="40"/>
        <v>12</v>
      </c>
      <c r="CG84" s="62">
        <v>48</v>
      </c>
      <c r="CH84" s="143">
        <v>15</v>
      </c>
      <c r="CI84" s="13">
        <f t="shared" si="46"/>
        <v>45</v>
      </c>
      <c r="CJ84" s="62">
        <v>24</v>
      </c>
      <c r="CK84" s="143"/>
      <c r="CL84" s="13">
        <f t="shared" si="47"/>
        <v>69</v>
      </c>
      <c r="CM84" s="62"/>
      <c r="CN84" s="143">
        <v>18</v>
      </c>
      <c r="CO84" s="13">
        <f t="shared" si="41"/>
        <v>51</v>
      </c>
      <c r="CP84" s="62"/>
      <c r="CQ84" s="143">
        <v>18</v>
      </c>
      <c r="CR84" s="13">
        <f t="shared" si="48"/>
        <v>33</v>
      </c>
      <c r="CS84" s="62"/>
      <c r="CT84" s="143"/>
      <c r="CU84" s="14">
        <f t="shared" si="42"/>
        <v>33</v>
      </c>
      <c r="CV84" s="5">
        <f>G84+J84+M84+P84+S84+V84+Y84+AB84+AE84+AH84+AK84+AN84+AQ84+AT84+AW84+AZ84+BC84+BF84+BI84+BL84+BO84+BR84+BU84+BX84+CA84+CD84+CG84+CJ84+CM84+CP84+CS84</f>
        <v>384</v>
      </c>
      <c r="CW84" s="4">
        <f>H84+K84+N84+Q84+T84+W84+Z84+AC84+AF84+AI84+AL84+AO84+AR84+AU84+AX84+BA84+BD84+BG84+BJ84+BM84+BP84+BS84+BV84+BY84+CB84+CE84+CH84+CK84+CN84+CQ84+CT84</f>
        <v>404</v>
      </c>
      <c r="CX84" s="6">
        <f t="shared" si="95"/>
        <v>33</v>
      </c>
      <c r="CY84" s="164">
        <v>0</v>
      </c>
      <c r="CZ84" s="171">
        <f t="shared" si="45"/>
        <v>0</v>
      </c>
      <c r="DB84" s="2">
        <f t="shared" si="49"/>
        <v>33</v>
      </c>
      <c r="DC84" s="62"/>
      <c r="DD84" s="143"/>
      <c r="DE84" s="149">
        <f t="shared" si="50"/>
        <v>33</v>
      </c>
    </row>
    <row r="85" spans="1:109" ht="16.2">
      <c r="A85" s="135" t="s">
        <v>200</v>
      </c>
      <c r="B85" s="3" t="s">
        <v>254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7.25" customHeight="1">
      <c r="A86" s="135" t="s">
        <v>261</v>
      </c>
      <c r="B86" s="3" t="s">
        <v>262</v>
      </c>
      <c r="C86" s="104" t="s">
        <v>27</v>
      </c>
      <c r="D86" s="34">
        <v>15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 t="shared" si="38"/>
        <v>0</v>
      </c>
      <c r="CA86" s="143"/>
      <c r="CB86" s="143"/>
      <c r="CC86" s="13">
        <f t="shared" si="39"/>
        <v>0</v>
      </c>
      <c r="CD86" s="143"/>
      <c r="CE86" s="143"/>
      <c r="CF86" s="13">
        <f t="shared" si="40"/>
        <v>0</v>
      </c>
      <c r="CG86" s="143"/>
      <c r="CH86" s="143"/>
      <c r="CI86" s="13">
        <f t="shared" si="46"/>
        <v>0</v>
      </c>
      <c r="CJ86" s="143"/>
      <c r="CK86" s="143"/>
      <c r="CL86" s="13">
        <f t="shared" si="47"/>
        <v>0</v>
      </c>
      <c r="CM86" s="143"/>
      <c r="CN86" s="143"/>
      <c r="CO86" s="13">
        <f t="shared" si="41"/>
        <v>0</v>
      </c>
      <c r="CP86" s="143"/>
      <c r="CQ86" s="143"/>
      <c r="CR86" s="13">
        <f t="shared" si="48"/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5" customHeight="1">
      <c r="A87" s="33" t="s">
        <v>201</v>
      </c>
      <c r="B87" s="3" t="s">
        <v>190</v>
      </c>
      <c r="C87" s="104" t="s">
        <v>27</v>
      </c>
      <c r="D87" s="34">
        <v>60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191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>BW88+BX88-BY88</f>
        <v>0</v>
      </c>
      <c r="CA88" s="143"/>
      <c r="CB88" s="143"/>
      <c r="CC88" s="13">
        <f>BZ88+CA88-CB88</f>
        <v>0</v>
      </c>
      <c r="CD88" s="143"/>
      <c r="CE88" s="143"/>
      <c r="CF88" s="13">
        <f>CC88+CD88-CE88</f>
        <v>0</v>
      </c>
      <c r="CG88" s="143"/>
      <c r="CH88" s="143"/>
      <c r="CI88" s="13">
        <f>CF88+CG88-CH88</f>
        <v>0</v>
      </c>
      <c r="CJ88" s="143"/>
      <c r="CK88" s="143"/>
      <c r="CL88" s="13">
        <f>CI88+CJ88-CK88</f>
        <v>0</v>
      </c>
      <c r="CM88" s="143"/>
      <c r="CN88" s="143"/>
      <c r="CO88" s="13">
        <f>CL88+CM88-CN88</f>
        <v>0</v>
      </c>
      <c r="CP88" s="143"/>
      <c r="CQ88" s="143"/>
      <c r="CR88" s="13">
        <f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6.2">
      <c r="A89" s="33" t="s">
        <v>201</v>
      </c>
      <c r="B89" s="3" t="s">
        <v>258</v>
      </c>
      <c r="C89" s="104" t="s">
        <v>27</v>
      </c>
      <c r="D89" s="34">
        <v>40</v>
      </c>
      <c r="E89" s="9" t="s">
        <v>260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 t="shared" ref="BZ89" si="96">BW89+BX89-BY89</f>
        <v>0</v>
      </c>
      <c r="CA89" s="143"/>
      <c r="CB89" s="143"/>
      <c r="CC89" s="13">
        <f t="shared" ref="CC89" si="97">BZ89+CA89-CB89</f>
        <v>0</v>
      </c>
      <c r="CD89" s="143"/>
      <c r="CE89" s="143"/>
      <c r="CF89" s="13">
        <f t="shared" ref="CF89" si="98">CC89+CD89-CE89</f>
        <v>0</v>
      </c>
      <c r="CG89" s="143"/>
      <c r="CH89" s="143"/>
      <c r="CI89" s="13">
        <f t="shared" ref="CI89" si="99">CF89+CG89-CH89</f>
        <v>0</v>
      </c>
      <c r="CJ89" s="143"/>
      <c r="CK89" s="143"/>
      <c r="CL89" s="13">
        <f t="shared" ref="CL89" si="100">CI89+CJ89-CK89</f>
        <v>0</v>
      </c>
      <c r="CM89" s="143"/>
      <c r="CN89" s="143"/>
      <c r="CO89" s="13">
        <f t="shared" ref="CO89" si="101">CL89+CM89-CN89</f>
        <v>0</v>
      </c>
      <c r="CP89" s="143"/>
      <c r="CQ89" s="143"/>
      <c r="CR89" s="13">
        <f t="shared" ref="CR89" si="102"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787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210</v>
      </c>
      <c r="C90" s="104" t="s">
        <v>27</v>
      </c>
      <c r="D90" s="34">
        <v>40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>BW90+BX90-BY90</f>
        <v>0</v>
      </c>
      <c r="CA90" s="143"/>
      <c r="CB90" s="143"/>
      <c r="CC90" s="13">
        <f>BZ90+CA90-CB90</f>
        <v>0</v>
      </c>
      <c r="CD90" s="143"/>
      <c r="CE90" s="143"/>
      <c r="CF90" s="13">
        <f>CC90+CD90-CE90</f>
        <v>0</v>
      </c>
      <c r="CG90" s="143"/>
      <c r="CH90" s="143"/>
      <c r="CI90" s="13">
        <f>CF90+CG90-CH90</f>
        <v>0</v>
      </c>
      <c r="CJ90" s="143"/>
      <c r="CK90" s="143"/>
      <c r="CL90" s="13">
        <f>CI90+CJ90-CK90</f>
        <v>0</v>
      </c>
      <c r="CM90" s="143"/>
      <c r="CN90" s="143"/>
      <c r="CO90" s="13">
        <f>CL90+CM90-CN90</f>
        <v>0</v>
      </c>
      <c r="CP90" s="143"/>
      <c r="CQ90" s="143"/>
      <c r="CR90" s="13">
        <f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211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ref="BZ91:BZ94" si="103">BW91+BX91-BY91</f>
        <v>0</v>
      </c>
      <c r="CA91" s="143"/>
      <c r="CB91" s="143"/>
      <c r="CC91" s="13">
        <f t="shared" ref="CC91:CC94" si="104">BZ91+CA91-CB91</f>
        <v>0</v>
      </c>
      <c r="CD91" s="143"/>
      <c r="CE91" s="143"/>
      <c r="CF91" s="13">
        <f t="shared" ref="CF91:CF94" si="105">CC91+CD91-CE91</f>
        <v>0</v>
      </c>
      <c r="CG91" s="143"/>
      <c r="CH91" s="143"/>
      <c r="CI91" s="13">
        <f t="shared" ref="CI91:CI94" si="106">CF91+CG91-CH91</f>
        <v>0</v>
      </c>
      <c r="CJ91" s="143"/>
      <c r="CK91" s="143"/>
      <c r="CL91" s="13">
        <f t="shared" ref="CL91:CL94" si="107">CI91+CJ91-CK91</f>
        <v>0</v>
      </c>
      <c r="CM91" s="143"/>
      <c r="CN91" s="143"/>
      <c r="CO91" s="13">
        <f t="shared" ref="CO91:CO94" si="108">CL91+CM91-CN91</f>
        <v>0</v>
      </c>
      <c r="CP91" s="143"/>
      <c r="CQ91" s="143"/>
      <c r="CR91" s="13">
        <f t="shared" ref="CR91:CR94" si="109">CO91+CP91-CQ91</f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7.25" hidden="1" customHeight="1">
      <c r="A92" s="135" t="s">
        <v>209</v>
      </c>
      <c r="B92" s="3" t="s">
        <v>212</v>
      </c>
      <c r="C92" s="104" t="s">
        <v>27</v>
      </c>
      <c r="D92" s="34">
        <v>20</v>
      </c>
      <c r="E92" s="9" t="s">
        <v>68</v>
      </c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472</v>
      </c>
      <c r="CZ92" s="171">
        <f t="shared" si="45"/>
        <v>0</v>
      </c>
      <c r="DA92" s="48"/>
      <c r="DB92" s="2">
        <f t="shared" si="49"/>
        <v>0</v>
      </c>
      <c r="DC92" s="62"/>
      <c r="DD92" s="143"/>
      <c r="DE92" s="149">
        <f t="shared" si="50"/>
        <v>0</v>
      </c>
    </row>
    <row r="93" spans="1:109" ht="16.2">
      <c r="A93" s="33"/>
      <c r="B93" s="56"/>
      <c r="C93" s="138"/>
      <c r="D93" s="44"/>
      <c r="E93" s="44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5">
        <f t="shared" si="43"/>
        <v>0</v>
      </c>
      <c r="CW93" s="4">
        <f t="shared" si="43"/>
        <v>0</v>
      </c>
      <c r="CX93" s="6">
        <f t="shared" si="95"/>
        <v>0</v>
      </c>
      <c r="CY93" s="165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A94" s="33"/>
      <c r="B94" s="36"/>
      <c r="C94" s="104"/>
      <c r="D94" s="34"/>
      <c r="E94" s="9"/>
      <c r="F94" s="14">
        <v>0</v>
      </c>
      <c r="G94" s="143"/>
      <c r="H94" s="143"/>
      <c r="I94" s="13">
        <f t="shared" si="73"/>
        <v>0</v>
      </c>
      <c r="J94" s="143"/>
      <c r="K94" s="143"/>
      <c r="L94" s="13">
        <f t="shared" si="74"/>
        <v>0</v>
      </c>
      <c r="M94" s="143"/>
      <c r="N94" s="143"/>
      <c r="O94" s="13">
        <f t="shared" si="75"/>
        <v>0</v>
      </c>
      <c r="P94" s="143"/>
      <c r="Q94" s="143"/>
      <c r="R94" s="30">
        <f t="shared" si="76"/>
        <v>0</v>
      </c>
      <c r="S94" s="143"/>
      <c r="T94" s="143"/>
      <c r="U94" s="13">
        <f t="shared" si="77"/>
        <v>0</v>
      </c>
      <c r="V94" s="143"/>
      <c r="W94" s="143"/>
      <c r="X94" s="13">
        <f t="shared" si="78"/>
        <v>0</v>
      </c>
      <c r="Y94" s="143"/>
      <c r="Z94" s="143"/>
      <c r="AA94" s="13">
        <f t="shared" si="57"/>
        <v>0</v>
      </c>
      <c r="AB94" s="143"/>
      <c r="AC94" s="143"/>
      <c r="AD94" s="13">
        <f t="shared" si="80"/>
        <v>0</v>
      </c>
      <c r="AE94" s="143"/>
      <c r="AF94" s="143"/>
      <c r="AG94" s="13">
        <f t="shared" si="81"/>
        <v>0</v>
      </c>
      <c r="AH94" s="143"/>
      <c r="AI94" s="143"/>
      <c r="AJ94" s="13">
        <f t="shared" si="82"/>
        <v>0</v>
      </c>
      <c r="AK94" s="143"/>
      <c r="AL94" s="143"/>
      <c r="AM94" s="13">
        <f t="shared" si="83"/>
        <v>0</v>
      </c>
      <c r="AN94" s="143"/>
      <c r="AO94" s="143"/>
      <c r="AP94" s="13">
        <f t="shared" si="84"/>
        <v>0</v>
      </c>
      <c r="AQ94" s="143"/>
      <c r="AR94" s="143"/>
      <c r="AS94" s="13">
        <f t="shared" si="85"/>
        <v>0</v>
      </c>
      <c r="AT94" s="143"/>
      <c r="AU94" s="143"/>
      <c r="AV94" s="13">
        <f t="shared" si="86"/>
        <v>0</v>
      </c>
      <c r="AW94" s="143"/>
      <c r="AX94" s="143"/>
      <c r="AY94" s="13">
        <f t="shared" si="87"/>
        <v>0</v>
      </c>
      <c r="AZ94" s="143"/>
      <c r="BA94" s="143"/>
      <c r="BB94" s="13">
        <f t="shared" si="88"/>
        <v>0</v>
      </c>
      <c r="BC94" s="143"/>
      <c r="BD94" s="143"/>
      <c r="BE94" s="13">
        <f t="shared" si="89"/>
        <v>0</v>
      </c>
      <c r="BF94" s="143"/>
      <c r="BG94" s="143"/>
      <c r="BH94" s="13">
        <f t="shared" si="90"/>
        <v>0</v>
      </c>
      <c r="BI94" s="143"/>
      <c r="BJ94" s="143"/>
      <c r="BK94" s="13">
        <f t="shared" si="91"/>
        <v>0</v>
      </c>
      <c r="BL94" s="143"/>
      <c r="BM94" s="143"/>
      <c r="BN94" s="13">
        <f t="shared" si="92"/>
        <v>0</v>
      </c>
      <c r="BO94" s="143"/>
      <c r="BP94" s="143"/>
      <c r="BQ94" s="13">
        <f t="shared" si="93"/>
        <v>0</v>
      </c>
      <c r="BR94" s="143"/>
      <c r="BS94" s="143"/>
      <c r="BT94" s="13">
        <f t="shared" si="37"/>
        <v>0</v>
      </c>
      <c r="BU94" s="143"/>
      <c r="BV94" s="143"/>
      <c r="BW94" s="13">
        <f t="shared" si="94"/>
        <v>0</v>
      </c>
      <c r="BX94" s="143"/>
      <c r="BY94" s="143"/>
      <c r="BZ94" s="13">
        <f t="shared" si="103"/>
        <v>0</v>
      </c>
      <c r="CA94" s="143"/>
      <c r="CB94" s="143"/>
      <c r="CC94" s="13">
        <f t="shared" si="104"/>
        <v>0</v>
      </c>
      <c r="CD94" s="143"/>
      <c r="CE94" s="143"/>
      <c r="CF94" s="13">
        <f t="shared" si="105"/>
        <v>0</v>
      </c>
      <c r="CG94" s="143"/>
      <c r="CH94" s="143"/>
      <c r="CI94" s="13">
        <f t="shared" si="106"/>
        <v>0</v>
      </c>
      <c r="CJ94" s="143"/>
      <c r="CK94" s="143"/>
      <c r="CL94" s="13">
        <f t="shared" si="107"/>
        <v>0</v>
      </c>
      <c r="CM94" s="143"/>
      <c r="CN94" s="143"/>
      <c r="CO94" s="13">
        <f t="shared" si="108"/>
        <v>0</v>
      </c>
      <c r="CP94" s="143"/>
      <c r="CQ94" s="143"/>
      <c r="CR94" s="13">
        <f t="shared" si="109"/>
        <v>0</v>
      </c>
      <c r="CS94" s="143"/>
      <c r="CT94" s="143"/>
      <c r="CU94" s="14">
        <f t="shared" si="42"/>
        <v>0</v>
      </c>
      <c r="CV94" s="139">
        <f t="shared" si="43"/>
        <v>0</v>
      </c>
      <c r="CW94" s="140">
        <f t="shared" si="43"/>
        <v>0</v>
      </c>
      <c r="CX94" s="141">
        <f t="shared" si="95"/>
        <v>0</v>
      </c>
      <c r="CY94" s="166">
        <v>0</v>
      </c>
      <c r="CZ94" s="171">
        <f t="shared" si="45"/>
        <v>0</v>
      </c>
      <c r="DB94" s="2">
        <f t="shared" si="49"/>
        <v>0</v>
      </c>
      <c r="DC94" s="62"/>
      <c r="DD94" s="143"/>
      <c r="DE94" s="149">
        <f t="shared" si="50"/>
        <v>0</v>
      </c>
    </row>
    <row r="95" spans="1:109" ht="16.8" thickBot="1">
      <c r="B95" s="36"/>
      <c r="C95" s="104"/>
      <c r="D95" s="34"/>
      <c r="E95" s="9"/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Y95" s="47" t="s">
        <v>127</v>
      </c>
      <c r="CZ95" s="173">
        <f>SUM(CZ5:CZ94)</f>
        <v>309851.59999999998</v>
      </c>
      <c r="DA95" s="48"/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Z96" s="174">
        <f>CZ95*1.08</f>
        <v>334639.728</v>
      </c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  <row r="134" spans="6:99">
      <c r="F134" s="32"/>
      <c r="G134" s="21"/>
      <c r="H134" s="21"/>
      <c r="I134" s="15"/>
      <c r="J134" s="21"/>
      <c r="K134" s="21"/>
      <c r="L134" s="15"/>
      <c r="M134" s="21"/>
      <c r="N134" s="27"/>
      <c r="O134" s="15"/>
      <c r="P134" s="21"/>
      <c r="Q134" s="27"/>
      <c r="R134" s="15"/>
      <c r="S134" s="21"/>
      <c r="T134" s="21"/>
      <c r="U134" s="15"/>
      <c r="V134" s="21"/>
      <c r="W134" s="21"/>
      <c r="X134" s="15"/>
      <c r="Y134" s="21"/>
      <c r="Z134" s="21"/>
      <c r="AA134" s="15"/>
      <c r="AB134" s="21"/>
      <c r="AC134" s="21"/>
      <c r="AD134" s="15"/>
      <c r="AE134" s="21"/>
      <c r="AF134" s="27"/>
      <c r="AG134" s="15"/>
      <c r="AH134" s="21"/>
      <c r="AI134" s="27"/>
      <c r="AJ134" s="15"/>
      <c r="AK134" s="21"/>
      <c r="AL134" s="27"/>
      <c r="AM134" s="15"/>
      <c r="AN134" s="21"/>
      <c r="AO134" s="25"/>
      <c r="AP134" s="15"/>
      <c r="AQ134" s="21"/>
      <c r="AR134" s="27"/>
      <c r="AS134" s="21"/>
      <c r="AT134" s="21"/>
      <c r="AU134" s="21"/>
      <c r="AV134" s="15"/>
      <c r="AW134" s="21"/>
      <c r="AX134" s="27"/>
      <c r="AY134" s="15"/>
      <c r="AZ134" s="21"/>
      <c r="BA134" s="27"/>
      <c r="BB134" s="15"/>
      <c r="BC134" s="21"/>
      <c r="BD134" s="21"/>
      <c r="BE134" s="15"/>
      <c r="BF134" s="21"/>
      <c r="BG134" s="21"/>
      <c r="BH134" s="15"/>
      <c r="BI134" s="21"/>
      <c r="BJ134" s="27"/>
      <c r="BK134" s="15"/>
      <c r="BL134" s="21"/>
      <c r="BM134" s="21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41"/>
      <c r="BY134" s="15"/>
      <c r="BZ134" s="15"/>
      <c r="CA134" s="15"/>
      <c r="CB134" s="15"/>
      <c r="CC134" s="15"/>
      <c r="CD134" s="15"/>
      <c r="CE134" s="41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D006-A6AA-47E4-9F2E-946959C3E0FC}">
  <sheetPr codeName="Sheet46">
    <tabColor rgb="FF00B0F0"/>
    <pageSetUpPr fitToPage="1"/>
  </sheetPr>
  <dimension ref="A1:DE134"/>
  <sheetViews>
    <sheetView zoomScale="160" zoomScaleNormal="160" workbookViewId="0">
      <pane xSplit="5" ySplit="4" topLeftCell="CH74" activePane="bottomRight" state="frozen"/>
      <selection pane="topRight" activeCell="F1" sqref="F1"/>
      <selection pane="bottomLeft" activeCell="A5" sqref="A5"/>
      <selection pane="bottomRight" activeCell="CW79" sqref="CW79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customWidth="1"/>
    <col min="9" max="9" width="5" style="10" customWidth="1"/>
    <col min="10" max="11" width="5" style="19" customWidth="1"/>
    <col min="12" max="12" width="5" style="10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customWidth="1"/>
    <col min="17" max="17" width="5" style="26" customWidth="1"/>
    <col min="18" max="18" width="5.109375" style="10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11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/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5</v>
      </c>
      <c r="E6" s="34" t="s">
        <v>26</v>
      </c>
      <c r="F6" s="14">
        <v>12</v>
      </c>
      <c r="G6" s="62"/>
      <c r="H6" s="143"/>
      <c r="I6" s="13">
        <f t="shared" si="0"/>
        <v>12</v>
      </c>
      <c r="J6" s="62"/>
      <c r="K6" s="143"/>
      <c r="L6" s="13">
        <f t="shared" si="1"/>
        <v>12</v>
      </c>
      <c r="M6" s="62"/>
      <c r="N6" s="143"/>
      <c r="O6" s="13">
        <f t="shared" si="2"/>
        <v>12</v>
      </c>
      <c r="P6" s="62">
        <v>20</v>
      </c>
      <c r="Q6" s="143">
        <f>2</f>
        <v>2</v>
      </c>
      <c r="R6" s="13">
        <f t="shared" si="3"/>
        <v>30</v>
      </c>
      <c r="S6" s="62"/>
      <c r="T6" s="143">
        <f>5</f>
        <v>5</v>
      </c>
      <c r="U6" s="13">
        <f t="shared" si="4"/>
        <v>25</v>
      </c>
      <c r="V6" s="62"/>
      <c r="W6" s="143">
        <f>2+3</f>
        <v>5</v>
      </c>
      <c r="X6" s="13">
        <f t="shared" si="5"/>
        <v>20</v>
      </c>
      <c r="Y6" s="62"/>
      <c r="Z6" s="143">
        <f>2</f>
        <v>2</v>
      </c>
      <c r="AA6" s="13">
        <f t="shared" ref="AA6:AA68" si="27">X6+Y6-Z6</f>
        <v>18</v>
      </c>
      <c r="AB6" s="62"/>
      <c r="AC6" s="143">
        <f>2</f>
        <v>2</v>
      </c>
      <c r="AD6" s="13">
        <f t="shared" ref="AD6:AD68" si="28">AA6+AB6-AC6</f>
        <v>16</v>
      </c>
      <c r="AE6" s="62"/>
      <c r="AF6" s="143"/>
      <c r="AG6" s="13">
        <f t="shared" ref="AG6:AG68" si="29">AD6+AE6-AF6</f>
        <v>16</v>
      </c>
      <c r="AH6" s="62">
        <v>10</v>
      </c>
      <c r="AI6" s="143">
        <f>2+2+3</f>
        <v>7</v>
      </c>
      <c r="AJ6" s="13">
        <f t="shared" ref="AJ6:AJ68" si="30">AG6+AH6-AI6</f>
        <v>19</v>
      </c>
      <c r="AK6" s="62">
        <v>10</v>
      </c>
      <c r="AL6" s="143">
        <f>4+5</f>
        <v>9</v>
      </c>
      <c r="AM6" s="13">
        <f t="shared" si="6"/>
        <v>20</v>
      </c>
      <c r="AN6" s="62"/>
      <c r="AO6" s="143">
        <f>5+4</f>
        <v>9</v>
      </c>
      <c r="AP6" s="13">
        <f t="shared" si="7"/>
        <v>11</v>
      </c>
      <c r="AQ6" s="62"/>
      <c r="AR6" s="143"/>
      <c r="AS6" s="13">
        <f t="shared" si="8"/>
        <v>11</v>
      </c>
      <c r="AT6" s="62"/>
      <c r="AU6" s="143">
        <f>4</f>
        <v>4</v>
      </c>
      <c r="AV6" s="13">
        <f t="shared" si="9"/>
        <v>7</v>
      </c>
      <c r="AW6" s="62"/>
      <c r="AX6" s="143"/>
      <c r="AY6" s="13">
        <f t="shared" si="10"/>
        <v>7</v>
      </c>
      <c r="AZ6" s="62"/>
      <c r="BA6" s="143"/>
      <c r="BB6" s="13">
        <f t="shared" si="11"/>
        <v>7</v>
      </c>
      <c r="BC6" s="62"/>
      <c r="BD6" s="143"/>
      <c r="BE6" s="13">
        <f t="shared" si="12"/>
        <v>7</v>
      </c>
      <c r="BF6" s="62">
        <v>10</v>
      </c>
      <c r="BG6" s="143">
        <f>2</f>
        <v>2</v>
      </c>
      <c r="BH6" s="13">
        <f t="shared" si="13"/>
        <v>15</v>
      </c>
      <c r="BI6" s="62"/>
      <c r="BJ6" s="143"/>
      <c r="BK6" s="13">
        <f t="shared" si="14"/>
        <v>15</v>
      </c>
      <c r="BL6" s="62"/>
      <c r="BM6" s="143"/>
      <c r="BN6" s="13">
        <f t="shared" si="15"/>
        <v>15</v>
      </c>
      <c r="BO6" s="62">
        <v>20</v>
      </c>
      <c r="BP6" s="143">
        <f>3</f>
        <v>3</v>
      </c>
      <c r="BQ6" s="13">
        <f t="shared" si="16"/>
        <v>32</v>
      </c>
      <c r="BR6" s="62"/>
      <c r="BS6" s="143">
        <f>2</f>
        <v>2</v>
      </c>
      <c r="BT6" s="13">
        <f t="shared" si="17"/>
        <v>30</v>
      </c>
      <c r="BU6" s="62"/>
      <c r="BV6" s="143"/>
      <c r="BW6" s="13">
        <f t="shared" si="18"/>
        <v>30</v>
      </c>
      <c r="BX6" s="62"/>
      <c r="BY6" s="143"/>
      <c r="BZ6" s="13">
        <f t="shared" si="19"/>
        <v>30</v>
      </c>
      <c r="CA6" s="62">
        <v>10</v>
      </c>
      <c r="CB6" s="143">
        <f>3+4+4+2+2+6</f>
        <v>21</v>
      </c>
      <c r="CC6" s="13">
        <f t="shared" si="20"/>
        <v>19</v>
      </c>
      <c r="CD6" s="62"/>
      <c r="CE6" s="143">
        <f>5+4+1</f>
        <v>10</v>
      </c>
      <c r="CF6" s="13">
        <f t="shared" si="21"/>
        <v>9</v>
      </c>
      <c r="CG6" s="62">
        <v>10</v>
      </c>
      <c r="CH6" s="143"/>
      <c r="CI6" s="13">
        <f t="shared" ref="CI6:CI69" si="31">CF6+CG6-CH6</f>
        <v>19</v>
      </c>
      <c r="CJ6" s="62"/>
      <c r="CK6" s="143">
        <f>4</f>
        <v>4</v>
      </c>
      <c r="CL6" s="13">
        <f t="shared" ref="CL6:CL69" si="32">CI6+CJ6-CK6</f>
        <v>15</v>
      </c>
      <c r="CM6" s="62"/>
      <c r="CN6" s="143"/>
      <c r="CO6" s="13">
        <f t="shared" si="22"/>
        <v>15</v>
      </c>
      <c r="CP6" s="62"/>
      <c r="CQ6" s="143"/>
      <c r="CR6" s="13">
        <f t="shared" ref="CR6:CR69" si="33">CO6+CP6-CQ6</f>
        <v>15</v>
      </c>
      <c r="CS6" s="62"/>
      <c r="CT6" s="143"/>
      <c r="CU6" s="14">
        <f t="shared" si="23"/>
        <v>15</v>
      </c>
      <c r="CV6" s="5">
        <f t="shared" si="24"/>
        <v>90</v>
      </c>
      <c r="CW6" s="4">
        <f t="shared" si="24"/>
        <v>87</v>
      </c>
      <c r="CX6" s="6">
        <f t="shared" si="25"/>
        <v>15</v>
      </c>
      <c r="CY6" s="162">
        <v>210</v>
      </c>
      <c r="CZ6" s="171">
        <f t="shared" si="26"/>
        <v>3150</v>
      </c>
      <c r="DB6" s="2">
        <f t="shared" ref="DB6:DB69" si="34">CU6</f>
        <v>15</v>
      </c>
      <c r="DC6" s="61"/>
      <c r="DD6" s="143"/>
      <c r="DE6" s="149">
        <f t="shared" ref="DE6:DE70" si="35">DC6+DB6-DD6</f>
        <v>15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>
        <v>20</v>
      </c>
      <c r="E8" s="35" t="s">
        <v>26</v>
      </c>
      <c r="F8" s="14">
        <v>27</v>
      </c>
      <c r="G8" s="62"/>
      <c r="H8" s="143">
        <v>16</v>
      </c>
      <c r="I8" s="13">
        <f t="shared" si="0"/>
        <v>11</v>
      </c>
      <c r="J8" s="62"/>
      <c r="K8" s="143"/>
      <c r="L8" s="13">
        <f t="shared" si="1"/>
        <v>11</v>
      </c>
      <c r="M8" s="62"/>
      <c r="N8" s="143">
        <v>6</v>
      </c>
      <c r="O8" s="13">
        <f t="shared" si="2"/>
        <v>5</v>
      </c>
      <c r="P8" s="62">
        <f>-6+20</f>
        <v>14</v>
      </c>
      <c r="Q8" s="143">
        <v>5</v>
      </c>
      <c r="R8" s="13">
        <f t="shared" si="3"/>
        <v>14</v>
      </c>
      <c r="S8" s="62"/>
      <c r="T8" s="143"/>
      <c r="U8" s="13">
        <f t="shared" si="4"/>
        <v>14</v>
      </c>
      <c r="V8" s="62"/>
      <c r="W8" s="143">
        <v>6</v>
      </c>
      <c r="X8" s="13">
        <f t="shared" si="5"/>
        <v>8</v>
      </c>
      <c r="Y8" s="62">
        <v>20</v>
      </c>
      <c r="Z8" s="143">
        <v>5</v>
      </c>
      <c r="AA8" s="13">
        <f t="shared" si="27"/>
        <v>23</v>
      </c>
      <c r="AB8" s="62"/>
      <c r="AC8" s="143">
        <v>7</v>
      </c>
      <c r="AD8" s="13">
        <f t="shared" si="28"/>
        <v>16</v>
      </c>
      <c r="AE8" s="62"/>
      <c r="AF8" s="143"/>
      <c r="AG8" s="13">
        <f t="shared" si="29"/>
        <v>16</v>
      </c>
      <c r="AH8" s="62">
        <v>20</v>
      </c>
      <c r="AI8" s="143">
        <v>7</v>
      </c>
      <c r="AJ8" s="13">
        <f t="shared" si="30"/>
        <v>29</v>
      </c>
      <c r="AK8" s="62"/>
      <c r="AL8" s="143">
        <v>5</v>
      </c>
      <c r="AM8" s="13">
        <f t="shared" si="6"/>
        <v>24</v>
      </c>
      <c r="AN8" s="62"/>
      <c r="AO8" s="143"/>
      <c r="AP8" s="13">
        <f t="shared" si="7"/>
        <v>24</v>
      </c>
      <c r="AQ8" s="64">
        <v>19</v>
      </c>
      <c r="AR8" s="143">
        <v>10</v>
      </c>
      <c r="AS8" s="13">
        <f t="shared" si="8"/>
        <v>33</v>
      </c>
      <c r="AT8" s="62"/>
      <c r="AU8" s="143">
        <v>2</v>
      </c>
      <c r="AV8" s="13">
        <f t="shared" si="9"/>
        <v>31</v>
      </c>
      <c r="AW8" s="62"/>
      <c r="AX8" s="143">
        <v>10</v>
      </c>
      <c r="AY8" s="13">
        <f t="shared" si="10"/>
        <v>21</v>
      </c>
      <c r="AZ8" s="62"/>
      <c r="BA8" s="143"/>
      <c r="BB8" s="13">
        <f t="shared" si="11"/>
        <v>21</v>
      </c>
      <c r="BC8" s="62"/>
      <c r="BD8" s="143">
        <v>4</v>
      </c>
      <c r="BE8" s="13">
        <f t="shared" si="12"/>
        <v>17</v>
      </c>
      <c r="BF8" s="62">
        <v>20</v>
      </c>
      <c r="BG8" s="143">
        <v>16</v>
      </c>
      <c r="BH8" s="13">
        <f t="shared" si="13"/>
        <v>21</v>
      </c>
      <c r="BI8" s="62"/>
      <c r="BJ8" s="143"/>
      <c r="BK8" s="13">
        <f t="shared" si="14"/>
        <v>21</v>
      </c>
      <c r="BL8" s="62"/>
      <c r="BM8" s="143">
        <v>6</v>
      </c>
      <c r="BN8" s="13">
        <f t="shared" si="15"/>
        <v>15</v>
      </c>
      <c r="BO8" s="62">
        <v>20</v>
      </c>
      <c r="BP8" s="143">
        <v>2</v>
      </c>
      <c r="BQ8" s="13">
        <f t="shared" si="16"/>
        <v>33</v>
      </c>
      <c r="BR8" s="62"/>
      <c r="BS8" s="143">
        <v>10</v>
      </c>
      <c r="BT8" s="13">
        <f t="shared" si="17"/>
        <v>23</v>
      </c>
      <c r="BU8" s="62"/>
      <c r="BV8" s="143"/>
      <c r="BW8" s="13">
        <f t="shared" si="18"/>
        <v>23</v>
      </c>
      <c r="BX8" s="62"/>
      <c r="BY8" s="143">
        <v>7</v>
      </c>
      <c r="BZ8" s="13">
        <f t="shared" si="19"/>
        <v>16</v>
      </c>
      <c r="CA8" s="62">
        <v>20</v>
      </c>
      <c r="CB8" s="143">
        <v>5</v>
      </c>
      <c r="CC8" s="13">
        <f t="shared" si="20"/>
        <v>31</v>
      </c>
      <c r="CD8" s="62"/>
      <c r="CE8" s="143"/>
      <c r="CF8" s="13">
        <f t="shared" si="21"/>
        <v>31</v>
      </c>
      <c r="CG8" s="62"/>
      <c r="CH8" s="143">
        <v>5</v>
      </c>
      <c r="CI8" s="13">
        <f t="shared" si="31"/>
        <v>26</v>
      </c>
      <c r="CJ8" s="62"/>
      <c r="CK8" s="143">
        <v>3</v>
      </c>
      <c r="CL8" s="13">
        <f t="shared" si="32"/>
        <v>23</v>
      </c>
      <c r="CM8" s="62"/>
      <c r="CN8" s="143">
        <v>10</v>
      </c>
      <c r="CO8" s="13">
        <f t="shared" si="22"/>
        <v>13</v>
      </c>
      <c r="CP8" s="62"/>
      <c r="CQ8" s="143"/>
      <c r="CR8" s="13">
        <f t="shared" si="33"/>
        <v>13</v>
      </c>
      <c r="CS8" s="62"/>
      <c r="CT8" s="143"/>
      <c r="CU8" s="14">
        <f t="shared" si="23"/>
        <v>13</v>
      </c>
      <c r="CV8" s="5">
        <f t="shared" si="24"/>
        <v>133</v>
      </c>
      <c r="CW8" s="4">
        <f t="shared" si="24"/>
        <v>147</v>
      </c>
      <c r="CX8" s="6">
        <f t="shared" si="25"/>
        <v>13</v>
      </c>
      <c r="CY8" s="162">
        <v>125</v>
      </c>
      <c r="CZ8" s="171">
        <f t="shared" si="26"/>
        <v>1625</v>
      </c>
      <c r="DB8" s="2">
        <f t="shared" si="34"/>
        <v>13</v>
      </c>
      <c r="DC8" s="61"/>
      <c r="DD8" s="143"/>
      <c r="DE8" s="149">
        <f t="shared" si="35"/>
        <v>13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79</v>
      </c>
      <c r="G12" s="62">
        <v>60</v>
      </c>
      <c r="H12" s="143">
        <f>6+2+50+1-2</f>
        <v>57</v>
      </c>
      <c r="I12" s="13">
        <f t="shared" si="0"/>
        <v>82</v>
      </c>
      <c r="J12" s="62"/>
      <c r="K12" s="143"/>
      <c r="L12" s="13">
        <f t="shared" si="1"/>
        <v>82</v>
      </c>
      <c r="M12" s="62"/>
      <c r="N12" s="143">
        <f>3+30</f>
        <v>33</v>
      </c>
      <c r="O12" s="13">
        <f t="shared" si="2"/>
        <v>49</v>
      </c>
      <c r="P12" s="62">
        <v>20</v>
      </c>
      <c r="Q12" s="143">
        <f>5+38</f>
        <v>43</v>
      </c>
      <c r="R12" s="13">
        <f t="shared" si="3"/>
        <v>26</v>
      </c>
      <c r="S12" s="62"/>
      <c r="T12" s="143"/>
      <c r="U12" s="13">
        <f t="shared" si="4"/>
        <v>26</v>
      </c>
      <c r="V12" s="62">
        <v>40</v>
      </c>
      <c r="W12" s="143">
        <f>3+20</f>
        <v>23</v>
      </c>
      <c r="X12" s="13">
        <f t="shared" si="5"/>
        <v>43</v>
      </c>
      <c r="Y12" s="62">
        <f>20+10</f>
        <v>30</v>
      </c>
      <c r="Z12" s="143">
        <v>19</v>
      </c>
      <c r="AA12" s="13">
        <f t="shared" si="27"/>
        <v>54</v>
      </c>
      <c r="AB12" s="62">
        <v>20</v>
      </c>
      <c r="AC12" s="143">
        <f>6+35</f>
        <v>41</v>
      </c>
      <c r="AD12" s="13">
        <f t="shared" si="28"/>
        <v>33</v>
      </c>
      <c r="AE12" s="62"/>
      <c r="AF12" s="143"/>
      <c r="AG12" s="13">
        <f t="shared" si="29"/>
        <v>33</v>
      </c>
      <c r="AH12" s="62">
        <v>20</v>
      </c>
      <c r="AI12" s="143">
        <f>4+7</f>
        <v>11</v>
      </c>
      <c r="AJ12" s="13">
        <f t="shared" si="30"/>
        <v>42</v>
      </c>
      <c r="AK12" s="62">
        <v>20</v>
      </c>
      <c r="AL12" s="143">
        <f>8+16+12</f>
        <v>36</v>
      </c>
      <c r="AM12" s="13">
        <f t="shared" si="6"/>
        <v>26</v>
      </c>
      <c r="AN12" s="62"/>
      <c r="AO12" s="143"/>
      <c r="AP12" s="13">
        <f t="shared" si="7"/>
        <v>26</v>
      </c>
      <c r="AQ12" s="62">
        <v>20</v>
      </c>
      <c r="AR12" s="143">
        <f>3+17</f>
        <v>20</v>
      </c>
      <c r="AS12" s="13">
        <f t="shared" si="8"/>
        <v>26</v>
      </c>
      <c r="AT12" s="62">
        <v>40</v>
      </c>
      <c r="AU12" s="143">
        <v>11</v>
      </c>
      <c r="AV12" s="13">
        <f t="shared" si="9"/>
        <v>55</v>
      </c>
      <c r="AW12" s="62">
        <f>20+20</f>
        <v>40</v>
      </c>
      <c r="AX12" s="143">
        <f>5+46+4</f>
        <v>55</v>
      </c>
      <c r="AY12" s="13">
        <f t="shared" si="10"/>
        <v>40</v>
      </c>
      <c r="AZ12" s="62"/>
      <c r="BA12" s="143"/>
      <c r="BB12" s="13">
        <f t="shared" si="11"/>
        <v>40</v>
      </c>
      <c r="BC12" s="62">
        <v>20</v>
      </c>
      <c r="BD12" s="143">
        <v>16</v>
      </c>
      <c r="BE12" s="13">
        <f t="shared" si="12"/>
        <v>44</v>
      </c>
      <c r="BF12" s="62">
        <f>-1+20+10</f>
        <v>29</v>
      </c>
      <c r="BG12" s="143">
        <f>6+38</f>
        <v>44</v>
      </c>
      <c r="BH12" s="13">
        <f t="shared" si="13"/>
        <v>29</v>
      </c>
      <c r="BI12" s="62"/>
      <c r="BJ12" s="143"/>
      <c r="BK12" s="13">
        <f t="shared" si="14"/>
        <v>29</v>
      </c>
      <c r="BL12" s="62">
        <f>-5+1+20+20</f>
        <v>36</v>
      </c>
      <c r="BM12" s="143">
        <f>4+25</f>
        <v>29</v>
      </c>
      <c r="BN12" s="13">
        <f t="shared" si="15"/>
        <v>36</v>
      </c>
      <c r="BO12" s="62">
        <f>40+20</f>
        <v>60</v>
      </c>
      <c r="BP12" s="143">
        <f>3+7</f>
        <v>10</v>
      </c>
      <c r="BQ12" s="13">
        <f t="shared" si="16"/>
        <v>86</v>
      </c>
      <c r="BR12" s="62">
        <v>20</v>
      </c>
      <c r="BS12" s="143">
        <f>6+47</f>
        <v>53</v>
      </c>
      <c r="BT12" s="13">
        <f t="shared" si="17"/>
        <v>53</v>
      </c>
      <c r="BU12" s="62"/>
      <c r="BV12" s="143"/>
      <c r="BW12" s="13">
        <f t="shared" si="18"/>
        <v>53</v>
      </c>
      <c r="BX12" s="62"/>
      <c r="BY12" s="143">
        <f>8+31</f>
        <v>39</v>
      </c>
      <c r="BZ12" s="13">
        <f t="shared" si="19"/>
        <v>14</v>
      </c>
      <c r="CA12" s="62">
        <f>-13+20+20</f>
        <v>27</v>
      </c>
      <c r="CB12" s="143">
        <v>14</v>
      </c>
      <c r="CC12" s="13">
        <f t="shared" si="20"/>
        <v>27</v>
      </c>
      <c r="CD12" s="62">
        <v>20</v>
      </c>
      <c r="CE12" s="143"/>
      <c r="CF12" s="13">
        <f t="shared" si="21"/>
        <v>47</v>
      </c>
      <c r="CG12" s="62">
        <v>20</v>
      </c>
      <c r="CH12" s="143">
        <f>2+12</f>
        <v>14</v>
      </c>
      <c r="CI12" s="13">
        <f t="shared" si="31"/>
        <v>53</v>
      </c>
      <c r="CJ12" s="62">
        <v>20</v>
      </c>
      <c r="CK12" s="143">
        <v>16</v>
      </c>
      <c r="CL12" s="13">
        <f t="shared" si="32"/>
        <v>57</v>
      </c>
      <c r="CM12" s="62">
        <v>20</v>
      </c>
      <c r="CN12" s="143">
        <f>4+38</f>
        <v>42</v>
      </c>
      <c r="CO12" s="13">
        <f t="shared" si="22"/>
        <v>35</v>
      </c>
      <c r="CP12" s="62"/>
      <c r="CQ12" s="143"/>
      <c r="CR12" s="13">
        <f t="shared" si="33"/>
        <v>35</v>
      </c>
      <c r="CS12" s="62"/>
      <c r="CT12" s="143"/>
      <c r="CU12" s="14">
        <f t="shared" si="23"/>
        <v>35</v>
      </c>
      <c r="CV12" s="5">
        <f t="shared" si="24"/>
        <v>582</v>
      </c>
      <c r="CW12" s="4">
        <f t="shared" si="24"/>
        <v>626</v>
      </c>
      <c r="CX12" s="6">
        <f t="shared" si="25"/>
        <v>35</v>
      </c>
      <c r="CY12" s="162">
        <v>45</v>
      </c>
      <c r="CZ12" s="171">
        <f t="shared" si="26"/>
        <v>1575</v>
      </c>
      <c r="DB12" s="2">
        <f t="shared" si="34"/>
        <v>35</v>
      </c>
      <c r="DC12" s="61"/>
      <c r="DD12" s="143"/>
      <c r="DE12" s="149">
        <f t="shared" si="35"/>
        <v>35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3</v>
      </c>
      <c r="E13" s="34" t="s">
        <v>26</v>
      </c>
      <c r="F13" s="14">
        <v>8.25</v>
      </c>
      <c r="G13" s="62">
        <f>6</f>
        <v>6</v>
      </c>
      <c r="H13" s="143">
        <v>1</v>
      </c>
      <c r="I13" s="13">
        <f t="shared" si="0"/>
        <v>13.25</v>
      </c>
      <c r="J13" s="62"/>
      <c r="K13" s="143"/>
      <c r="L13" s="13">
        <f t="shared" si="1"/>
        <v>13.25</v>
      </c>
      <c r="M13" s="62"/>
      <c r="N13" s="143"/>
      <c r="O13" s="13">
        <f t="shared" si="2"/>
        <v>13.25</v>
      </c>
      <c r="P13" s="62">
        <v>6</v>
      </c>
      <c r="Q13" s="143">
        <f>2+1.25+1+2+2+1</f>
        <v>9.25</v>
      </c>
      <c r="R13" s="30">
        <f t="shared" si="3"/>
        <v>10</v>
      </c>
      <c r="S13" s="62"/>
      <c r="T13" s="143">
        <v>1</v>
      </c>
      <c r="U13" s="13">
        <f t="shared" si="4"/>
        <v>9</v>
      </c>
      <c r="V13" s="62"/>
      <c r="W13" s="143">
        <f>1+1</f>
        <v>2</v>
      </c>
      <c r="X13" s="13">
        <f t="shared" si="5"/>
        <v>7</v>
      </c>
      <c r="Y13" s="62">
        <v>6</v>
      </c>
      <c r="Z13" s="143">
        <f>2+0.25+0.25</f>
        <v>2.5</v>
      </c>
      <c r="AA13" s="13">
        <f t="shared" si="27"/>
        <v>10.5</v>
      </c>
      <c r="AB13" s="62"/>
      <c r="AC13" s="143"/>
      <c r="AD13" s="13">
        <f t="shared" si="28"/>
        <v>10.5</v>
      </c>
      <c r="AE13" s="62"/>
      <c r="AF13" s="143"/>
      <c r="AG13" s="13">
        <f t="shared" si="29"/>
        <v>10.5</v>
      </c>
      <c r="AH13" s="62"/>
      <c r="AI13" s="143">
        <f>4.5</f>
        <v>4.5</v>
      </c>
      <c r="AJ13" s="13">
        <f t="shared" si="30"/>
        <v>6</v>
      </c>
      <c r="AK13" s="62">
        <v>6</v>
      </c>
      <c r="AL13" s="143"/>
      <c r="AM13" s="13">
        <f t="shared" si="6"/>
        <v>12</v>
      </c>
      <c r="AN13" s="62"/>
      <c r="AO13" s="143">
        <f>1</f>
        <v>1</v>
      </c>
      <c r="AP13" s="13">
        <f t="shared" si="7"/>
        <v>11</v>
      </c>
      <c r="AQ13" s="62"/>
      <c r="AR13" s="143">
        <v>0.5</v>
      </c>
      <c r="AS13" s="13">
        <f t="shared" si="8"/>
        <v>10.5</v>
      </c>
      <c r="AT13" s="62"/>
      <c r="AU13" s="143">
        <f>2.5</f>
        <v>2.5</v>
      </c>
      <c r="AV13" s="13">
        <f t="shared" si="9"/>
        <v>8</v>
      </c>
      <c r="AW13" s="62">
        <v>6</v>
      </c>
      <c r="AX13" s="143">
        <f>1+1</f>
        <v>2</v>
      </c>
      <c r="AY13" s="13">
        <f t="shared" si="10"/>
        <v>12</v>
      </c>
      <c r="AZ13" s="62"/>
      <c r="BA13" s="143"/>
      <c r="BB13" s="13">
        <f t="shared" si="11"/>
        <v>12</v>
      </c>
      <c r="BC13" s="62"/>
      <c r="BD13" s="143">
        <f>1.25+1+2</f>
        <v>4.25</v>
      </c>
      <c r="BE13" s="13">
        <f t="shared" si="12"/>
        <v>7.75</v>
      </c>
      <c r="BF13" s="62"/>
      <c r="BG13" s="143">
        <f>1+2</f>
        <v>3</v>
      </c>
      <c r="BH13" s="13">
        <f t="shared" si="13"/>
        <v>4.75</v>
      </c>
      <c r="BI13" s="62"/>
      <c r="BJ13" s="143"/>
      <c r="BK13" s="13">
        <f t="shared" si="14"/>
        <v>4.75</v>
      </c>
      <c r="BL13" s="62">
        <v>6</v>
      </c>
      <c r="BM13" s="143">
        <f>1</f>
        <v>1</v>
      </c>
      <c r="BN13" s="13">
        <f t="shared" si="15"/>
        <v>9.75</v>
      </c>
      <c r="BO13" s="62"/>
      <c r="BP13" s="143"/>
      <c r="BQ13" s="13">
        <f t="shared" si="16"/>
        <v>9.75</v>
      </c>
      <c r="BR13" s="62"/>
      <c r="BS13" s="143">
        <f>1</f>
        <v>1</v>
      </c>
      <c r="BT13" s="13">
        <f t="shared" si="17"/>
        <v>8.75</v>
      </c>
      <c r="BU13" s="62"/>
      <c r="BV13" s="143"/>
      <c r="BW13" s="13">
        <f t="shared" si="18"/>
        <v>8.75</v>
      </c>
      <c r="BX13" s="62"/>
      <c r="BY13" s="143"/>
      <c r="BZ13" s="13">
        <f t="shared" si="19"/>
        <v>8.75</v>
      </c>
      <c r="CA13" s="62">
        <v>6</v>
      </c>
      <c r="CB13" s="143">
        <f>4.5+1.25</f>
        <v>5.75</v>
      </c>
      <c r="CC13" s="13">
        <f t="shared" si="20"/>
        <v>9</v>
      </c>
      <c r="CD13" s="62"/>
      <c r="CE13" s="143">
        <f>0.25+2.5+2+1.75</f>
        <v>6.5</v>
      </c>
      <c r="CF13" s="13">
        <f t="shared" si="21"/>
        <v>2.5</v>
      </c>
      <c r="CG13" s="62">
        <v>6</v>
      </c>
      <c r="CH13" s="143">
        <f>0.75+0.5+1</f>
        <v>2.25</v>
      </c>
      <c r="CI13" s="13">
        <f>CF13+CG13-CH13</f>
        <v>6.25</v>
      </c>
      <c r="CJ13" s="62"/>
      <c r="CK13" s="143">
        <f>2.5</f>
        <v>2.5</v>
      </c>
      <c r="CL13" s="13">
        <f>CI13+CJ13-CK13</f>
        <v>3.75</v>
      </c>
      <c r="CM13" s="62">
        <v>6</v>
      </c>
      <c r="CN13" s="143">
        <f>1</f>
        <v>1</v>
      </c>
      <c r="CO13" s="13">
        <f t="shared" si="22"/>
        <v>8.75</v>
      </c>
      <c r="CP13" s="62"/>
      <c r="CQ13" s="143"/>
      <c r="CR13" s="13">
        <f t="shared" si="33"/>
        <v>8.75</v>
      </c>
      <c r="CS13" s="62"/>
      <c r="CT13" s="143"/>
      <c r="CU13" s="14">
        <f t="shared" si="23"/>
        <v>8.75</v>
      </c>
      <c r="CV13" s="5">
        <f t="shared" si="24"/>
        <v>54</v>
      </c>
      <c r="CW13" s="4">
        <f t="shared" si="24"/>
        <v>53.5</v>
      </c>
      <c r="CX13" s="6">
        <f t="shared" si="25"/>
        <v>8.75</v>
      </c>
      <c r="CY13" s="162">
        <v>433</v>
      </c>
      <c r="CZ13" s="171">
        <f t="shared" si="26"/>
        <v>3788.75</v>
      </c>
      <c r="DB13" s="2">
        <f t="shared" si="34"/>
        <v>8.75</v>
      </c>
      <c r="DC13" s="61"/>
      <c r="DD13" s="143"/>
      <c r="DE13" s="149">
        <f t="shared" si="35"/>
        <v>8.75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16.5</v>
      </c>
      <c r="G14" s="62">
        <f>-9+48</f>
        <v>39</v>
      </c>
      <c r="H14" s="143">
        <f>16</f>
        <v>16</v>
      </c>
      <c r="I14" s="13">
        <f t="shared" si="0"/>
        <v>39.5</v>
      </c>
      <c r="J14" s="62"/>
      <c r="K14" s="143"/>
      <c r="L14" s="13">
        <f t="shared" si="1"/>
        <v>39.5</v>
      </c>
      <c r="M14" s="62"/>
      <c r="N14" s="143">
        <f>13</f>
        <v>13</v>
      </c>
      <c r="O14" s="13">
        <f t="shared" si="2"/>
        <v>26.5</v>
      </c>
      <c r="P14" s="62">
        <f>-2+40</f>
        <v>38</v>
      </c>
      <c r="Q14" s="143">
        <f>1+1+1.5+2+1+2+0.5+17</f>
        <v>26</v>
      </c>
      <c r="R14" s="30">
        <f t="shared" si="3"/>
        <v>38.5</v>
      </c>
      <c r="S14" s="62"/>
      <c r="T14" s="143">
        <f>1.5+2.5+4</f>
        <v>8</v>
      </c>
      <c r="U14" s="13">
        <f t="shared" si="4"/>
        <v>30.5</v>
      </c>
      <c r="V14" s="62">
        <v>16</v>
      </c>
      <c r="W14" s="143">
        <f>2+1.5+2+1.5+2+11</f>
        <v>20</v>
      </c>
      <c r="X14" s="13">
        <f t="shared" si="5"/>
        <v>26.5</v>
      </c>
      <c r="Y14" s="62">
        <v>16</v>
      </c>
      <c r="Z14" s="143">
        <f>3+7</f>
        <v>10</v>
      </c>
      <c r="AA14" s="13">
        <f t="shared" si="27"/>
        <v>32.5</v>
      </c>
      <c r="AB14" s="62">
        <v>16</v>
      </c>
      <c r="AC14" s="143">
        <f>18</f>
        <v>18</v>
      </c>
      <c r="AD14" s="13">
        <f t="shared" si="28"/>
        <v>30.5</v>
      </c>
      <c r="AE14" s="62"/>
      <c r="AF14" s="143"/>
      <c r="AG14" s="13">
        <f t="shared" si="29"/>
        <v>30.5</v>
      </c>
      <c r="AH14" s="62">
        <v>24</v>
      </c>
      <c r="AI14" s="143">
        <f>2+2+12</f>
        <v>16</v>
      </c>
      <c r="AJ14" s="13">
        <f t="shared" si="30"/>
        <v>38.5</v>
      </c>
      <c r="AK14" s="62">
        <v>16</v>
      </c>
      <c r="AL14" s="143">
        <f>2+2+1+1+1+1.5+10</f>
        <v>18.5</v>
      </c>
      <c r="AM14" s="13">
        <f t="shared" si="6"/>
        <v>36</v>
      </c>
      <c r="AN14" s="62"/>
      <c r="AO14" s="143">
        <f>2+1</f>
        <v>3</v>
      </c>
      <c r="AP14" s="13">
        <f t="shared" si="7"/>
        <v>33</v>
      </c>
      <c r="AQ14" s="62">
        <v>16</v>
      </c>
      <c r="AR14" s="143">
        <f>2+2+2+1.5+12</f>
        <v>19.5</v>
      </c>
      <c r="AS14" s="13">
        <f t="shared" si="8"/>
        <v>29.5</v>
      </c>
      <c r="AT14" s="62">
        <v>32</v>
      </c>
      <c r="AU14" s="143">
        <f>3+0.5+0.5+0.5+12</f>
        <v>16.5</v>
      </c>
      <c r="AV14" s="13">
        <f t="shared" si="9"/>
        <v>45</v>
      </c>
      <c r="AW14" s="62">
        <v>16</v>
      </c>
      <c r="AX14" s="143">
        <f>2+1.5+2+15</f>
        <v>20.5</v>
      </c>
      <c r="AY14" s="180">
        <f t="shared" si="10"/>
        <v>40.5</v>
      </c>
      <c r="AZ14" s="62"/>
      <c r="BA14" s="143"/>
      <c r="BB14" s="13">
        <f t="shared" si="11"/>
        <v>40.5</v>
      </c>
      <c r="BC14" s="62">
        <v>16</v>
      </c>
      <c r="BD14" s="143">
        <f>2.5+2.5+2+1.5+2+1.5+1+8</f>
        <v>21</v>
      </c>
      <c r="BE14" s="13">
        <f t="shared" si="12"/>
        <v>35.5</v>
      </c>
      <c r="BF14" s="62">
        <v>24</v>
      </c>
      <c r="BG14" s="143">
        <f>0.5+2+2+1+1.5+1.5+1+17</f>
        <v>26.5</v>
      </c>
      <c r="BH14" s="13">
        <f t="shared" si="13"/>
        <v>33</v>
      </c>
      <c r="BI14" s="62"/>
      <c r="BJ14" s="143">
        <f>4</f>
        <v>4</v>
      </c>
      <c r="BK14" s="13">
        <f t="shared" si="14"/>
        <v>29</v>
      </c>
      <c r="BL14" s="62">
        <v>24</v>
      </c>
      <c r="BM14" s="143">
        <f>1.5+1+2+12+1</f>
        <v>17.5</v>
      </c>
      <c r="BN14" s="13">
        <f t="shared" si="15"/>
        <v>35.5</v>
      </c>
      <c r="BO14" s="62">
        <v>16</v>
      </c>
      <c r="BP14" s="143">
        <f>3+0.5+0.5+0.5+10</f>
        <v>14.5</v>
      </c>
      <c r="BQ14" s="13">
        <f t="shared" si="16"/>
        <v>37</v>
      </c>
      <c r="BR14" s="62">
        <v>24</v>
      </c>
      <c r="BS14" s="143">
        <f>2+13</f>
        <v>15</v>
      </c>
      <c r="BT14" s="13">
        <f t="shared" si="17"/>
        <v>46</v>
      </c>
      <c r="BU14" s="62"/>
      <c r="BV14" s="143"/>
      <c r="BW14" s="13">
        <f t="shared" si="18"/>
        <v>46</v>
      </c>
      <c r="BX14" s="62"/>
      <c r="BY14" s="143">
        <v>12</v>
      </c>
      <c r="BZ14" s="13">
        <f t="shared" si="19"/>
        <v>34</v>
      </c>
      <c r="CA14" s="62">
        <v>8</v>
      </c>
      <c r="CB14" s="143">
        <f>2+1+2+2+11</f>
        <v>18</v>
      </c>
      <c r="CC14" s="13">
        <f t="shared" si="20"/>
        <v>24</v>
      </c>
      <c r="CD14" s="62"/>
      <c r="CE14" s="143">
        <f>1</f>
        <v>1</v>
      </c>
      <c r="CF14" s="13">
        <f t="shared" si="21"/>
        <v>23</v>
      </c>
      <c r="CG14" s="62">
        <v>24</v>
      </c>
      <c r="CH14" s="143">
        <f>2+1+12</f>
        <v>15</v>
      </c>
      <c r="CI14" s="13">
        <f t="shared" si="31"/>
        <v>32</v>
      </c>
      <c r="CJ14" s="62"/>
      <c r="CK14" s="143">
        <f>4+0.5+0.5+0.5+0.5+4</f>
        <v>10</v>
      </c>
      <c r="CL14" s="13">
        <f t="shared" si="32"/>
        <v>22</v>
      </c>
      <c r="CM14" s="62">
        <v>8</v>
      </c>
      <c r="CN14" s="143">
        <f>13</f>
        <v>13</v>
      </c>
      <c r="CO14" s="13">
        <f t="shared" si="22"/>
        <v>17</v>
      </c>
      <c r="CP14" s="62"/>
      <c r="CQ14" s="143"/>
      <c r="CR14" s="13">
        <f t="shared" si="33"/>
        <v>17</v>
      </c>
      <c r="CS14" s="62"/>
      <c r="CT14" s="143"/>
      <c r="CU14" s="14">
        <f t="shared" si="23"/>
        <v>17</v>
      </c>
      <c r="CV14" s="5">
        <f t="shared" si="24"/>
        <v>373</v>
      </c>
      <c r="CW14" s="4">
        <f t="shared" si="24"/>
        <v>372.5</v>
      </c>
      <c r="CX14" s="6">
        <f t="shared" si="25"/>
        <v>17</v>
      </c>
      <c r="CY14" s="162">
        <v>150</v>
      </c>
      <c r="CZ14" s="171">
        <f t="shared" si="26"/>
        <v>2550</v>
      </c>
      <c r="DB14" s="2">
        <f t="shared" si="34"/>
        <v>17</v>
      </c>
      <c r="DC14" s="61"/>
      <c r="DD14" s="143"/>
      <c r="DE14" s="149">
        <f t="shared" si="35"/>
        <v>17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34</v>
      </c>
      <c r="G15" s="62">
        <v>45</v>
      </c>
      <c r="H15" s="143"/>
      <c r="I15" s="13">
        <f t="shared" si="0"/>
        <v>79</v>
      </c>
      <c r="J15" s="62"/>
      <c r="K15" s="143"/>
      <c r="L15" s="13">
        <f t="shared" si="1"/>
        <v>79</v>
      </c>
      <c r="M15" s="62"/>
      <c r="N15" s="143"/>
      <c r="O15" s="13">
        <f t="shared" si="2"/>
        <v>79</v>
      </c>
      <c r="P15" s="62">
        <v>90</v>
      </c>
      <c r="Q15" s="143">
        <f>13+8+4+12+2</f>
        <v>39</v>
      </c>
      <c r="R15" s="30">
        <f t="shared" si="3"/>
        <v>130</v>
      </c>
      <c r="S15" s="62"/>
      <c r="T15" s="143">
        <f>8+8+10+10+5+11</f>
        <v>52</v>
      </c>
      <c r="U15" s="13">
        <f t="shared" si="4"/>
        <v>78</v>
      </c>
      <c r="V15" s="62">
        <v>90</v>
      </c>
      <c r="W15" s="143">
        <f>20+8+10+6+8+7+4</f>
        <v>63</v>
      </c>
      <c r="X15" s="13">
        <f t="shared" si="5"/>
        <v>105</v>
      </c>
      <c r="Y15" s="62"/>
      <c r="Z15" s="143">
        <f>10+2+30</f>
        <v>42</v>
      </c>
      <c r="AA15" s="13">
        <f t="shared" si="27"/>
        <v>63</v>
      </c>
      <c r="AB15" s="62"/>
      <c r="AC15" s="143">
        <v>3</v>
      </c>
      <c r="AD15" s="13">
        <f t="shared" si="28"/>
        <v>60</v>
      </c>
      <c r="AE15" s="62"/>
      <c r="AF15" s="143"/>
      <c r="AG15" s="13">
        <f t="shared" si="29"/>
        <v>60</v>
      </c>
      <c r="AH15" s="62"/>
      <c r="AI15" s="143">
        <f>6+5+9+10+1</f>
        <v>31</v>
      </c>
      <c r="AJ15" s="13">
        <f t="shared" si="30"/>
        <v>29</v>
      </c>
      <c r="AK15" s="62">
        <f>-9+90</f>
        <v>81</v>
      </c>
      <c r="AL15" s="143">
        <f>1+8+9+6+2</f>
        <v>26</v>
      </c>
      <c r="AM15" s="13">
        <f t="shared" si="6"/>
        <v>84</v>
      </c>
      <c r="AN15" s="62"/>
      <c r="AO15" s="143">
        <v>7</v>
      </c>
      <c r="AP15" s="13">
        <f t="shared" si="7"/>
        <v>77</v>
      </c>
      <c r="AQ15" s="62">
        <v>45</v>
      </c>
      <c r="AR15" s="143">
        <f>2+7+10+7+2+8+10</f>
        <v>46</v>
      </c>
      <c r="AS15" s="13">
        <f t="shared" si="8"/>
        <v>76</v>
      </c>
      <c r="AT15" s="62">
        <v>45</v>
      </c>
      <c r="AU15" s="143">
        <f>8+2+1+40</f>
        <v>51</v>
      </c>
      <c r="AV15" s="13">
        <f t="shared" si="9"/>
        <v>70</v>
      </c>
      <c r="AW15" s="62">
        <v>45</v>
      </c>
      <c r="AX15" s="143">
        <f>9+2</f>
        <v>11</v>
      </c>
      <c r="AY15" s="13">
        <f t="shared" si="10"/>
        <v>104</v>
      </c>
      <c r="AZ15" s="62"/>
      <c r="BA15" s="143"/>
      <c r="BB15" s="13">
        <f t="shared" si="11"/>
        <v>104</v>
      </c>
      <c r="BC15" s="62">
        <v>45</v>
      </c>
      <c r="BD15" s="143">
        <f>8+7+7+7+5</f>
        <v>34</v>
      </c>
      <c r="BE15" s="13">
        <f t="shared" si="12"/>
        <v>115</v>
      </c>
      <c r="BF15" s="62">
        <v>45</v>
      </c>
      <c r="BG15" s="143">
        <f>20+8+13+8+12+7</f>
        <v>68</v>
      </c>
      <c r="BH15" s="13">
        <f t="shared" si="13"/>
        <v>92</v>
      </c>
      <c r="BI15" s="62"/>
      <c r="BJ15" s="143">
        <f>9+4+11</f>
        <v>24</v>
      </c>
      <c r="BK15" s="13">
        <f t="shared" si="14"/>
        <v>68</v>
      </c>
      <c r="BL15" s="62">
        <v>90</v>
      </c>
      <c r="BM15" s="143">
        <f>9+1</f>
        <v>10</v>
      </c>
      <c r="BN15" s="13">
        <f t="shared" si="15"/>
        <v>148</v>
      </c>
      <c r="BO15" s="62">
        <v>45</v>
      </c>
      <c r="BP15" s="143">
        <f>30+10+16+2</f>
        <v>58</v>
      </c>
      <c r="BQ15" s="13">
        <f t="shared" si="16"/>
        <v>135</v>
      </c>
      <c r="BR15" s="62">
        <v>45</v>
      </c>
      <c r="BS15" s="143">
        <f>5+2</f>
        <v>7</v>
      </c>
      <c r="BT15" s="13">
        <f t="shared" si="17"/>
        <v>173</v>
      </c>
      <c r="BU15" s="62"/>
      <c r="BV15" s="143"/>
      <c r="BW15" s="13">
        <f t="shared" si="18"/>
        <v>173</v>
      </c>
      <c r="BX15" s="62"/>
      <c r="BY15" s="143">
        <v>4</v>
      </c>
      <c r="BZ15" s="13">
        <f t="shared" si="19"/>
        <v>169</v>
      </c>
      <c r="CA15" s="62">
        <v>45</v>
      </c>
      <c r="CB15" s="143">
        <f>8+8+9+8+8+6+4+8+10+9+20+30</f>
        <v>128</v>
      </c>
      <c r="CC15" s="13">
        <f t="shared" si="20"/>
        <v>86</v>
      </c>
      <c r="CD15" s="62"/>
      <c r="CE15" s="143">
        <f>7</f>
        <v>7</v>
      </c>
      <c r="CF15" s="13">
        <f t="shared" si="21"/>
        <v>79</v>
      </c>
      <c r="CG15" s="62">
        <v>40</v>
      </c>
      <c r="CH15" s="143">
        <f>8+9+8+8</f>
        <v>33</v>
      </c>
      <c r="CI15" s="13">
        <f t="shared" si="31"/>
        <v>86</v>
      </c>
      <c r="CJ15" s="62"/>
      <c r="CK15" s="143">
        <f>20+10+2+3+1+20</f>
        <v>56</v>
      </c>
      <c r="CL15" s="13">
        <f t="shared" si="32"/>
        <v>30</v>
      </c>
      <c r="CM15" s="62">
        <v>40</v>
      </c>
      <c r="CN15" s="143">
        <f>3</f>
        <v>3</v>
      </c>
      <c r="CO15" s="13">
        <f t="shared" si="22"/>
        <v>67</v>
      </c>
      <c r="CP15" s="62"/>
      <c r="CQ15" s="143"/>
      <c r="CR15" s="13">
        <f t="shared" si="33"/>
        <v>67</v>
      </c>
      <c r="CS15" s="62"/>
      <c r="CT15" s="143"/>
      <c r="CU15" s="14">
        <f t="shared" si="23"/>
        <v>67</v>
      </c>
      <c r="CV15" s="5">
        <f t="shared" si="24"/>
        <v>836</v>
      </c>
      <c r="CW15" s="4">
        <f t="shared" si="24"/>
        <v>803</v>
      </c>
      <c r="CX15" s="6">
        <f t="shared" si="25"/>
        <v>67</v>
      </c>
      <c r="CY15" s="162">
        <v>84</v>
      </c>
      <c r="CZ15" s="171">
        <f t="shared" si="26"/>
        <v>5628</v>
      </c>
      <c r="DB15" s="2">
        <f t="shared" si="34"/>
        <v>67</v>
      </c>
      <c r="DC15" s="61"/>
      <c r="DD15" s="143"/>
      <c r="DE15" s="149">
        <f t="shared" si="35"/>
        <v>67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10</v>
      </c>
      <c r="G16" s="176">
        <f>-4-12+50</f>
        <v>34</v>
      </c>
      <c r="H16" s="143">
        <f>6+4</f>
        <v>10</v>
      </c>
      <c r="I16" s="13">
        <f t="shared" si="0"/>
        <v>34</v>
      </c>
      <c r="J16" s="176"/>
      <c r="K16" s="143"/>
      <c r="L16" s="13">
        <f t="shared" si="1"/>
        <v>34</v>
      </c>
      <c r="M16" s="176"/>
      <c r="N16" s="143">
        <f>2</f>
        <v>2</v>
      </c>
      <c r="O16" s="13">
        <f t="shared" si="2"/>
        <v>32</v>
      </c>
      <c r="P16" s="176">
        <v>15</v>
      </c>
      <c r="Q16" s="143">
        <f>18+4+2</f>
        <v>24</v>
      </c>
      <c r="R16" s="30">
        <f t="shared" si="3"/>
        <v>23</v>
      </c>
      <c r="S16" s="176"/>
      <c r="T16" s="143"/>
      <c r="U16" s="13">
        <f t="shared" si="4"/>
        <v>23</v>
      </c>
      <c r="V16" s="176">
        <v>25</v>
      </c>
      <c r="W16" s="143">
        <f>5+5+5+2</f>
        <v>17</v>
      </c>
      <c r="X16" s="13">
        <f t="shared" si="5"/>
        <v>31</v>
      </c>
      <c r="Y16" s="176"/>
      <c r="Z16" s="143">
        <f>5</f>
        <v>5</v>
      </c>
      <c r="AA16" s="13">
        <f t="shared" si="27"/>
        <v>26</v>
      </c>
      <c r="AB16" s="176"/>
      <c r="AC16" s="143">
        <f>4</f>
        <v>4</v>
      </c>
      <c r="AD16" s="13">
        <f t="shared" si="28"/>
        <v>22</v>
      </c>
      <c r="AE16" s="176"/>
      <c r="AF16" s="143"/>
      <c r="AG16" s="13">
        <f t="shared" si="29"/>
        <v>22</v>
      </c>
      <c r="AH16" s="176">
        <v>25</v>
      </c>
      <c r="AI16" s="143">
        <f>5+3+5+2</f>
        <v>15</v>
      </c>
      <c r="AJ16" s="13">
        <f t="shared" si="30"/>
        <v>32</v>
      </c>
      <c r="AK16" s="176"/>
      <c r="AL16" s="143">
        <f>8</f>
        <v>8</v>
      </c>
      <c r="AM16" s="13">
        <f t="shared" si="6"/>
        <v>24</v>
      </c>
      <c r="AN16" s="176"/>
      <c r="AO16" s="143">
        <f>2</f>
        <v>2</v>
      </c>
      <c r="AP16" s="13">
        <f t="shared" si="7"/>
        <v>22</v>
      </c>
      <c r="AQ16" s="176">
        <v>13</v>
      </c>
      <c r="AR16" s="143">
        <f>7+9+2</f>
        <v>18</v>
      </c>
      <c r="AS16" s="13">
        <f t="shared" si="8"/>
        <v>17</v>
      </c>
      <c r="AT16" s="176">
        <v>25</v>
      </c>
      <c r="AU16" s="143">
        <f>1+2+6</f>
        <v>9</v>
      </c>
      <c r="AV16" s="13">
        <f t="shared" si="9"/>
        <v>33</v>
      </c>
      <c r="AW16" s="176">
        <v>25</v>
      </c>
      <c r="AX16" s="143">
        <f>5+6+2+4+4+4</f>
        <v>25</v>
      </c>
      <c r="AY16" s="13">
        <f t="shared" si="10"/>
        <v>33</v>
      </c>
      <c r="AZ16" s="176"/>
      <c r="BA16" s="143"/>
      <c r="BB16" s="13">
        <f t="shared" si="11"/>
        <v>33</v>
      </c>
      <c r="BC16" s="176">
        <v>25</v>
      </c>
      <c r="BD16" s="143">
        <f>9+5+2</f>
        <v>16</v>
      </c>
      <c r="BE16" s="13">
        <f t="shared" si="12"/>
        <v>42</v>
      </c>
      <c r="BF16" s="176">
        <v>25</v>
      </c>
      <c r="BG16" s="143">
        <f>18+2</f>
        <v>20</v>
      </c>
      <c r="BH16" s="13">
        <f t="shared" si="13"/>
        <v>47</v>
      </c>
      <c r="BI16" s="176"/>
      <c r="BJ16" s="143"/>
      <c r="BK16" s="13">
        <f t="shared" si="14"/>
        <v>47</v>
      </c>
      <c r="BL16" s="176"/>
      <c r="BM16" s="143">
        <f>5+4+4+4+5+2</f>
        <v>24</v>
      </c>
      <c r="BN16" s="13">
        <f t="shared" si="15"/>
        <v>23</v>
      </c>
      <c r="BO16" s="176"/>
      <c r="BP16" s="143">
        <f>1+1</f>
        <v>2</v>
      </c>
      <c r="BQ16" s="13">
        <f t="shared" si="16"/>
        <v>21</v>
      </c>
      <c r="BR16" s="176">
        <v>25</v>
      </c>
      <c r="BS16" s="143">
        <f>4</f>
        <v>4</v>
      </c>
      <c r="BT16" s="13">
        <f t="shared" si="17"/>
        <v>42</v>
      </c>
      <c r="BU16" s="176"/>
      <c r="BV16" s="143"/>
      <c r="BW16" s="13">
        <f t="shared" si="18"/>
        <v>42</v>
      </c>
      <c r="BX16" s="176"/>
      <c r="BY16" s="143">
        <v>2</v>
      </c>
      <c r="BZ16" s="13">
        <f t="shared" si="19"/>
        <v>40</v>
      </c>
      <c r="CA16" s="176">
        <v>10</v>
      </c>
      <c r="CB16" s="143">
        <f>8+2+6+4</f>
        <v>20</v>
      </c>
      <c r="CC16" s="13">
        <f t="shared" si="20"/>
        <v>30</v>
      </c>
      <c r="CD16" s="176"/>
      <c r="CE16" s="143"/>
      <c r="CF16" s="13">
        <f t="shared" si="21"/>
        <v>30</v>
      </c>
      <c r="CG16" s="176">
        <v>4</v>
      </c>
      <c r="CH16" s="143">
        <f>7+4+9+2</f>
        <v>22</v>
      </c>
      <c r="CI16" s="13">
        <f t="shared" si="31"/>
        <v>12</v>
      </c>
      <c r="CJ16" s="176"/>
      <c r="CK16" s="143">
        <f>1+2+1</f>
        <v>4</v>
      </c>
      <c r="CL16" s="13">
        <f t="shared" si="32"/>
        <v>8</v>
      </c>
      <c r="CM16" s="176">
        <v>8</v>
      </c>
      <c r="CN16" s="143">
        <f>6</f>
        <v>6</v>
      </c>
      <c r="CO16" s="13">
        <f t="shared" si="22"/>
        <v>10</v>
      </c>
      <c r="CP16" s="176"/>
      <c r="CQ16" s="143"/>
      <c r="CR16" s="13">
        <f t="shared" si="33"/>
        <v>10</v>
      </c>
      <c r="CS16" s="176"/>
      <c r="CT16" s="143"/>
      <c r="CU16" s="14">
        <f t="shared" si="23"/>
        <v>10</v>
      </c>
      <c r="CV16" s="5">
        <f t="shared" si="24"/>
        <v>259</v>
      </c>
      <c r="CW16" s="4">
        <f t="shared" si="24"/>
        <v>259</v>
      </c>
      <c r="CX16" s="6">
        <f t="shared" si="25"/>
        <v>10</v>
      </c>
      <c r="CY16" s="162">
        <v>120</v>
      </c>
      <c r="CZ16" s="171">
        <f t="shared" si="26"/>
        <v>1200</v>
      </c>
      <c r="DB16" s="2">
        <f t="shared" si="34"/>
        <v>10</v>
      </c>
      <c r="DC16" s="63"/>
      <c r="DD16" s="143"/>
      <c r="DE16" s="149">
        <f t="shared" si="35"/>
        <v>10</v>
      </c>
    </row>
    <row r="17" spans="1:109" ht="15.75" customHeight="1">
      <c r="A17" s="33"/>
      <c r="B17" s="49" t="s">
        <v>46</v>
      </c>
      <c r="C17" s="108" t="s">
        <v>47</v>
      </c>
      <c r="D17" s="52" t="s">
        <v>57</v>
      </c>
      <c r="E17" s="52" t="s">
        <v>47</v>
      </c>
      <c r="F17" s="14">
        <v>15</v>
      </c>
      <c r="G17" s="62">
        <f>-36+15+39+50</f>
        <v>68</v>
      </c>
      <c r="H17" s="143">
        <f>3+11+1+6</f>
        <v>21</v>
      </c>
      <c r="I17" s="13">
        <f t="shared" si="0"/>
        <v>62</v>
      </c>
      <c r="J17" s="62"/>
      <c r="K17" s="143"/>
      <c r="L17" s="13">
        <f t="shared" si="1"/>
        <v>62</v>
      </c>
      <c r="M17" s="62"/>
      <c r="N17" s="143">
        <f>4+31</f>
        <v>35</v>
      </c>
      <c r="O17" s="13">
        <f t="shared" si="2"/>
        <v>27</v>
      </c>
      <c r="P17" s="62">
        <f>-5+15+12</f>
        <v>22</v>
      </c>
      <c r="Q17" s="143">
        <f>4+23</f>
        <v>27</v>
      </c>
      <c r="R17" s="30">
        <f t="shared" si="3"/>
        <v>22</v>
      </c>
      <c r="S17" s="62"/>
      <c r="T17" s="143"/>
      <c r="U17" s="13">
        <f t="shared" si="4"/>
        <v>22</v>
      </c>
      <c r="V17" s="62">
        <f>-1+15+10</f>
        <v>24</v>
      </c>
      <c r="W17" s="143">
        <f>2+15+5</f>
        <v>22</v>
      </c>
      <c r="X17" s="13">
        <f t="shared" si="5"/>
        <v>24</v>
      </c>
      <c r="Y17" s="62">
        <f>15+15</f>
        <v>30</v>
      </c>
      <c r="Z17" s="143">
        <v>9</v>
      </c>
      <c r="AA17" s="13">
        <f t="shared" si="27"/>
        <v>45</v>
      </c>
      <c r="AB17" s="62">
        <f>-1+15+15</f>
        <v>29</v>
      </c>
      <c r="AC17" s="143">
        <f>6+39</f>
        <v>45</v>
      </c>
      <c r="AD17" s="13">
        <f t="shared" si="28"/>
        <v>29</v>
      </c>
      <c r="AE17" s="62"/>
      <c r="AF17" s="143"/>
      <c r="AG17" s="13">
        <f t="shared" si="29"/>
        <v>29</v>
      </c>
      <c r="AH17" s="62">
        <f>15+10</f>
        <v>25</v>
      </c>
      <c r="AI17" s="143">
        <f>4+13</f>
        <v>17</v>
      </c>
      <c r="AJ17" s="13">
        <f t="shared" si="30"/>
        <v>37</v>
      </c>
      <c r="AK17" s="62">
        <v>15</v>
      </c>
      <c r="AL17" s="143">
        <f>21+6</f>
        <v>27</v>
      </c>
      <c r="AM17" s="13">
        <f t="shared" si="6"/>
        <v>25</v>
      </c>
      <c r="AN17" s="62"/>
      <c r="AO17" s="143"/>
      <c r="AP17" s="13">
        <f t="shared" si="7"/>
        <v>25</v>
      </c>
      <c r="AQ17" s="62">
        <f>15+10</f>
        <v>25</v>
      </c>
      <c r="AR17" s="143">
        <v>20</v>
      </c>
      <c r="AS17" s="13">
        <f t="shared" si="8"/>
        <v>30</v>
      </c>
      <c r="AT17" s="62">
        <f>-3+15+33</f>
        <v>45</v>
      </c>
      <c r="AU17" s="143">
        <v>30</v>
      </c>
      <c r="AV17" s="13">
        <f t="shared" si="9"/>
        <v>45</v>
      </c>
      <c r="AW17" s="62">
        <f>15+9</f>
        <v>24</v>
      </c>
      <c r="AX17" s="143">
        <f>4+37+5</f>
        <v>46</v>
      </c>
      <c r="AY17" s="13">
        <f t="shared" si="10"/>
        <v>23</v>
      </c>
      <c r="AZ17" s="62"/>
      <c r="BA17" s="143"/>
      <c r="BB17" s="13">
        <f t="shared" si="11"/>
        <v>23</v>
      </c>
      <c r="BC17" s="62">
        <f>-2+15+15</f>
        <v>28</v>
      </c>
      <c r="BD17" s="143">
        <v>23</v>
      </c>
      <c r="BE17" s="13">
        <f t="shared" si="12"/>
        <v>28</v>
      </c>
      <c r="BF17" s="62">
        <f>-16+15+25</f>
        <v>24</v>
      </c>
      <c r="BG17" s="143">
        <v>28</v>
      </c>
      <c r="BH17" s="13">
        <f t="shared" si="13"/>
        <v>24</v>
      </c>
      <c r="BI17" s="62"/>
      <c r="BJ17" s="143"/>
      <c r="BK17" s="13">
        <f t="shared" si="14"/>
        <v>24</v>
      </c>
      <c r="BL17" s="62">
        <f>-8+15+20</f>
        <v>27</v>
      </c>
      <c r="BM17" s="143">
        <f>3+21</f>
        <v>24</v>
      </c>
      <c r="BN17" s="13">
        <f t="shared" si="15"/>
        <v>27</v>
      </c>
      <c r="BO17" s="62">
        <f>15+30</f>
        <v>45</v>
      </c>
      <c r="BP17" s="143">
        <f>2+23</f>
        <v>25</v>
      </c>
      <c r="BQ17" s="13">
        <f t="shared" si="16"/>
        <v>47</v>
      </c>
      <c r="BR17" s="62">
        <f>-15+15+30+20</f>
        <v>50</v>
      </c>
      <c r="BS17" s="143">
        <f>6+41</f>
        <v>47</v>
      </c>
      <c r="BT17" s="13">
        <f t="shared" si="17"/>
        <v>50</v>
      </c>
      <c r="BU17" s="62"/>
      <c r="BV17" s="143"/>
      <c r="BW17" s="13">
        <f t="shared" si="18"/>
        <v>50</v>
      </c>
      <c r="BX17" s="62"/>
      <c r="BY17" s="143">
        <f>4+22</f>
        <v>26</v>
      </c>
      <c r="BZ17" s="13">
        <f t="shared" si="19"/>
        <v>24</v>
      </c>
      <c r="CA17" s="62">
        <f>-4+15+10</f>
        <v>21</v>
      </c>
      <c r="CB17" s="143">
        <v>24</v>
      </c>
      <c r="CC17" s="13">
        <f t="shared" si="20"/>
        <v>21</v>
      </c>
      <c r="CD17" s="62">
        <v>15</v>
      </c>
      <c r="CE17" s="143"/>
      <c r="CF17" s="13">
        <f t="shared" si="21"/>
        <v>36</v>
      </c>
      <c r="CG17" s="62">
        <v>15</v>
      </c>
      <c r="CH17" s="143">
        <v>8</v>
      </c>
      <c r="CI17" s="13">
        <f t="shared" si="31"/>
        <v>43</v>
      </c>
      <c r="CJ17" s="62">
        <v>15</v>
      </c>
      <c r="CK17" s="143">
        <f>2+12</f>
        <v>14</v>
      </c>
      <c r="CL17" s="13">
        <f t="shared" si="32"/>
        <v>44</v>
      </c>
      <c r="CM17" s="62">
        <f>-19+15+20</f>
        <v>16</v>
      </c>
      <c r="CN17" s="143">
        <f>6+38+1</f>
        <v>45</v>
      </c>
      <c r="CO17" s="13">
        <f t="shared" si="22"/>
        <v>15</v>
      </c>
      <c r="CP17" s="62"/>
      <c r="CQ17" s="143"/>
      <c r="CR17" s="13">
        <f t="shared" si="33"/>
        <v>15</v>
      </c>
      <c r="CS17" s="62"/>
      <c r="CT17" s="143"/>
      <c r="CU17" s="14">
        <f t="shared" si="23"/>
        <v>15</v>
      </c>
      <c r="CV17" s="5">
        <f t="shared" si="24"/>
        <v>563</v>
      </c>
      <c r="CW17" s="4">
        <f t="shared" si="24"/>
        <v>563</v>
      </c>
      <c r="CX17" s="6">
        <f t="shared" si="25"/>
        <v>15</v>
      </c>
      <c r="CY17" s="162">
        <v>200</v>
      </c>
      <c r="CZ17" s="171">
        <f t="shared" si="26"/>
        <v>3000</v>
      </c>
      <c r="DB17" s="2">
        <f t="shared" si="34"/>
        <v>15</v>
      </c>
      <c r="DC17" s="61"/>
      <c r="DD17" s="143"/>
      <c r="DE17" s="149">
        <f t="shared" si="35"/>
        <v>15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1.5000000000000027</v>
      </c>
      <c r="G18" s="62">
        <v>4</v>
      </c>
      <c r="H18" s="143"/>
      <c r="I18" s="13">
        <f t="shared" si="0"/>
        <v>5.5000000000000027</v>
      </c>
      <c r="J18" s="62"/>
      <c r="K18" s="143"/>
      <c r="L18" s="13">
        <f t="shared" si="1"/>
        <v>5.5000000000000027</v>
      </c>
      <c r="M18" s="62"/>
      <c r="N18" s="143"/>
      <c r="O18" s="13">
        <f t="shared" si="2"/>
        <v>5.5000000000000027</v>
      </c>
      <c r="P18" s="62">
        <v>16</v>
      </c>
      <c r="Q18" s="143">
        <f>4.7</f>
        <v>4.7</v>
      </c>
      <c r="R18" s="30">
        <f t="shared" si="3"/>
        <v>16.800000000000004</v>
      </c>
      <c r="S18" s="62"/>
      <c r="T18" s="143">
        <f>1.5+5.6</f>
        <v>7.1</v>
      </c>
      <c r="U18" s="13">
        <f t="shared" si="4"/>
        <v>9.7000000000000046</v>
      </c>
      <c r="V18" s="62">
        <v>1</v>
      </c>
      <c r="W18" s="143">
        <f>5.7</f>
        <v>5.7</v>
      </c>
      <c r="X18" s="13">
        <f t="shared" si="5"/>
        <v>5.0000000000000044</v>
      </c>
      <c r="Y18" s="62">
        <f>8+1</f>
        <v>9</v>
      </c>
      <c r="Z18" s="143">
        <f>2</f>
        <v>2</v>
      </c>
      <c r="AA18" s="13">
        <f t="shared" si="27"/>
        <v>12.000000000000004</v>
      </c>
      <c r="AB18" s="62"/>
      <c r="AC18" s="143">
        <f>2.4</f>
        <v>2.4</v>
      </c>
      <c r="AD18" s="13">
        <f t="shared" si="28"/>
        <v>9.6000000000000032</v>
      </c>
      <c r="AE18" s="62"/>
      <c r="AF18" s="143"/>
      <c r="AG18" s="13">
        <f>AD18+AE18-AF18</f>
        <v>9.6000000000000032</v>
      </c>
      <c r="AH18" s="62"/>
      <c r="AI18" s="143">
        <f>1.8+4.6+2.3</f>
        <v>8.6999999999999993</v>
      </c>
      <c r="AJ18" s="13">
        <f t="shared" si="30"/>
        <v>0.90000000000000391</v>
      </c>
      <c r="AK18" s="62">
        <v>4</v>
      </c>
      <c r="AL18" s="143"/>
      <c r="AM18" s="13">
        <f t="shared" si="6"/>
        <v>4.9000000000000039</v>
      </c>
      <c r="AN18" s="62"/>
      <c r="AO18" s="143">
        <f>1.2+0.7</f>
        <v>1.9</v>
      </c>
      <c r="AP18" s="13">
        <f t="shared" si="7"/>
        <v>3.000000000000004</v>
      </c>
      <c r="AQ18" s="62"/>
      <c r="AR18" s="143">
        <v>0.8</v>
      </c>
      <c r="AS18" s="13">
        <f t="shared" si="8"/>
        <v>2.2000000000000037</v>
      </c>
      <c r="AT18" s="62">
        <v>4</v>
      </c>
      <c r="AU18" s="143"/>
      <c r="AV18" s="13">
        <f t="shared" si="9"/>
        <v>6.2000000000000037</v>
      </c>
      <c r="AW18" s="62">
        <v>4</v>
      </c>
      <c r="AX18" s="143"/>
      <c r="AY18" s="13">
        <f t="shared" si="10"/>
        <v>10.200000000000003</v>
      </c>
      <c r="AZ18" s="62"/>
      <c r="BA18" s="143"/>
      <c r="BB18" s="13">
        <f t="shared" si="11"/>
        <v>10.200000000000003</v>
      </c>
      <c r="BC18" s="62">
        <v>2.4</v>
      </c>
      <c r="BD18" s="143">
        <f>3+1.1+1.8</f>
        <v>5.8999999999999995</v>
      </c>
      <c r="BE18" s="13">
        <f t="shared" si="12"/>
        <v>6.7000000000000037</v>
      </c>
      <c r="BF18" s="62">
        <v>8</v>
      </c>
      <c r="BG18" s="143"/>
      <c r="BH18" s="13">
        <f t="shared" si="13"/>
        <v>14.700000000000003</v>
      </c>
      <c r="BI18" s="62"/>
      <c r="BJ18" s="143">
        <f>4</f>
        <v>4</v>
      </c>
      <c r="BK18" s="13">
        <f t="shared" si="14"/>
        <v>10.700000000000003</v>
      </c>
      <c r="BL18" s="62">
        <v>4</v>
      </c>
      <c r="BM18" s="143">
        <f>5.6+2.3</f>
        <v>7.8999999999999995</v>
      </c>
      <c r="BN18" s="13">
        <f t="shared" si="15"/>
        <v>6.8000000000000034</v>
      </c>
      <c r="BO18" s="62"/>
      <c r="BP18" s="143"/>
      <c r="BQ18" s="13">
        <f t="shared" si="16"/>
        <v>6.8000000000000034</v>
      </c>
      <c r="BR18" s="62"/>
      <c r="BS18" s="143">
        <f>4.2</f>
        <v>4.2</v>
      </c>
      <c r="BT18" s="13">
        <f t="shared" si="17"/>
        <v>2.6000000000000032</v>
      </c>
      <c r="BU18" s="62"/>
      <c r="BV18" s="143"/>
      <c r="BW18" s="13">
        <f t="shared" si="18"/>
        <v>2.6000000000000032</v>
      </c>
      <c r="BX18" s="62"/>
      <c r="BY18" s="143"/>
      <c r="BZ18" s="13">
        <f t="shared" si="19"/>
        <v>2.6000000000000032</v>
      </c>
      <c r="CA18" s="62">
        <v>8</v>
      </c>
      <c r="CB18" s="143"/>
      <c r="CC18" s="13">
        <f t="shared" si="20"/>
        <v>10.600000000000003</v>
      </c>
      <c r="CD18" s="62"/>
      <c r="CE18" s="143">
        <f>0.7+1.2</f>
        <v>1.9</v>
      </c>
      <c r="CF18" s="13">
        <f t="shared" si="21"/>
        <v>8.7000000000000028</v>
      </c>
      <c r="CG18" s="62">
        <v>4</v>
      </c>
      <c r="CH18" s="143">
        <f>4+1+3.4</f>
        <v>8.4</v>
      </c>
      <c r="CI18" s="13">
        <f t="shared" si="31"/>
        <v>4.3000000000000025</v>
      </c>
      <c r="CJ18" s="62">
        <v>2</v>
      </c>
      <c r="CK18" s="143">
        <f>1.2</f>
        <v>1.2</v>
      </c>
      <c r="CL18" s="13">
        <f t="shared" si="32"/>
        <v>5.1000000000000023</v>
      </c>
      <c r="CM18" s="62"/>
      <c r="CN18" s="143"/>
      <c r="CO18" s="13">
        <f t="shared" si="22"/>
        <v>5.1000000000000023</v>
      </c>
      <c r="CP18" s="62"/>
      <c r="CQ18" s="143"/>
      <c r="CR18" s="13">
        <f t="shared" si="33"/>
        <v>5.1000000000000023</v>
      </c>
      <c r="CS18" s="62"/>
      <c r="CT18" s="143"/>
      <c r="CU18" s="14">
        <f t="shared" si="23"/>
        <v>5.1000000000000023</v>
      </c>
      <c r="CV18" s="5">
        <f t="shared" si="24"/>
        <v>70.400000000000006</v>
      </c>
      <c r="CW18" s="4">
        <f t="shared" si="24"/>
        <v>66.8</v>
      </c>
      <c r="CX18" s="6">
        <f t="shared" si="25"/>
        <v>5.1000000000000023</v>
      </c>
      <c r="CY18" s="162">
        <v>500</v>
      </c>
      <c r="CZ18" s="171">
        <f t="shared" si="26"/>
        <v>2550.0000000000014</v>
      </c>
      <c r="DB18" s="2">
        <f t="shared" si="34"/>
        <v>5.1000000000000023</v>
      </c>
      <c r="DC18" s="61"/>
      <c r="DD18" s="143"/>
      <c r="DE18" s="149">
        <f t="shared" si="35"/>
        <v>5.1000000000000023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2.8</v>
      </c>
      <c r="G19" s="62"/>
      <c r="H19" s="143"/>
      <c r="I19" s="13">
        <f t="shared" si="0"/>
        <v>2.8</v>
      </c>
      <c r="J19" s="62"/>
      <c r="K19" s="143"/>
      <c r="L19" s="13">
        <f t="shared" si="1"/>
        <v>2.8</v>
      </c>
      <c r="M19" s="62"/>
      <c r="N19" s="143"/>
      <c r="O19" s="13">
        <f t="shared" si="2"/>
        <v>2.8</v>
      </c>
      <c r="P19" s="62">
        <f>1.3+4</f>
        <v>5.3</v>
      </c>
      <c r="Q19" s="143"/>
      <c r="R19" s="30">
        <f t="shared" si="3"/>
        <v>8.1</v>
      </c>
      <c r="S19" s="62"/>
      <c r="T19" s="143">
        <f>4.9</f>
        <v>4.9000000000000004</v>
      </c>
      <c r="U19" s="13">
        <f t="shared" si="4"/>
        <v>3.1999999999999993</v>
      </c>
      <c r="V19" s="62">
        <v>4</v>
      </c>
      <c r="W19" s="143">
        <v>1.6</v>
      </c>
      <c r="X19" s="30">
        <f t="shared" si="5"/>
        <v>5.6</v>
      </c>
      <c r="Y19" s="62">
        <v>8</v>
      </c>
      <c r="Z19" s="143">
        <f>1.5</f>
        <v>1.5</v>
      </c>
      <c r="AA19" s="13">
        <f t="shared" si="27"/>
        <v>12.1</v>
      </c>
      <c r="AB19" s="62"/>
      <c r="AC19" s="143"/>
      <c r="AD19" s="13">
        <f t="shared" si="28"/>
        <v>12.1</v>
      </c>
      <c r="AE19" s="62"/>
      <c r="AF19" s="143"/>
      <c r="AG19" s="13">
        <f t="shared" si="29"/>
        <v>12.1</v>
      </c>
      <c r="AH19" s="62"/>
      <c r="AI19" s="143">
        <f>0.2+5.2</f>
        <v>5.4</v>
      </c>
      <c r="AJ19" s="13">
        <f t="shared" si="30"/>
        <v>6.6999999999999993</v>
      </c>
      <c r="AK19" s="62"/>
      <c r="AL19" s="143"/>
      <c r="AM19" s="13">
        <f t="shared" si="6"/>
        <v>6.6999999999999993</v>
      </c>
      <c r="AN19" s="62"/>
      <c r="AO19" s="143">
        <f>2.1</f>
        <v>2.1</v>
      </c>
      <c r="AP19" s="13">
        <f t="shared" si="7"/>
        <v>4.5999999999999996</v>
      </c>
      <c r="AQ19" s="62"/>
      <c r="AR19" s="143"/>
      <c r="AS19" s="13">
        <f t="shared" si="8"/>
        <v>4.5999999999999996</v>
      </c>
      <c r="AT19" s="62"/>
      <c r="AU19" s="143"/>
      <c r="AV19" s="13">
        <f t="shared" si="9"/>
        <v>4.5999999999999996</v>
      </c>
      <c r="AW19" s="62">
        <v>4</v>
      </c>
      <c r="AX19" s="143">
        <v>2</v>
      </c>
      <c r="AY19" s="13">
        <f t="shared" si="10"/>
        <v>6.6</v>
      </c>
      <c r="AZ19" s="62"/>
      <c r="BA19" s="143"/>
      <c r="BB19" s="13">
        <f t="shared" si="11"/>
        <v>6.6</v>
      </c>
      <c r="BC19" s="62">
        <v>3.5</v>
      </c>
      <c r="BD19" s="143"/>
      <c r="BE19" s="13">
        <f t="shared" si="12"/>
        <v>10.1</v>
      </c>
      <c r="BF19" s="62"/>
      <c r="BG19" s="143"/>
      <c r="BH19" s="13">
        <f t="shared" si="13"/>
        <v>10.1</v>
      </c>
      <c r="BI19" s="62"/>
      <c r="BJ19" s="143"/>
      <c r="BK19" s="13">
        <f t="shared" si="14"/>
        <v>10.1</v>
      </c>
      <c r="BL19" s="62"/>
      <c r="BM19" s="143">
        <f>1.6</f>
        <v>1.6</v>
      </c>
      <c r="BN19" s="13">
        <f t="shared" si="15"/>
        <v>8.5</v>
      </c>
      <c r="BO19" s="62">
        <v>4</v>
      </c>
      <c r="BP19" s="143">
        <f>1</f>
        <v>1</v>
      </c>
      <c r="BQ19" s="13">
        <f t="shared" si="16"/>
        <v>11.5</v>
      </c>
      <c r="BR19" s="62"/>
      <c r="BS19" s="143"/>
      <c r="BT19" s="13">
        <f t="shared" si="17"/>
        <v>11.5</v>
      </c>
      <c r="BU19" s="62"/>
      <c r="BV19" s="143"/>
      <c r="BW19" s="13">
        <f t="shared" si="18"/>
        <v>11.5</v>
      </c>
      <c r="BX19" s="62"/>
      <c r="BY19" s="143"/>
      <c r="BZ19" s="13">
        <f t="shared" si="19"/>
        <v>11.5</v>
      </c>
      <c r="CA19" s="62"/>
      <c r="CB19" s="143">
        <f>6.6</f>
        <v>6.6</v>
      </c>
      <c r="CC19" s="13">
        <f t="shared" si="20"/>
        <v>4.9000000000000004</v>
      </c>
      <c r="CD19" s="62"/>
      <c r="CE19" s="143"/>
      <c r="CF19" s="13">
        <f t="shared" si="21"/>
        <v>4.9000000000000004</v>
      </c>
      <c r="CG19" s="62"/>
      <c r="CH19" s="143"/>
      <c r="CI19" s="13">
        <f t="shared" si="31"/>
        <v>4.9000000000000004</v>
      </c>
      <c r="CJ19" s="62"/>
      <c r="CK19" s="143"/>
      <c r="CL19" s="13">
        <f t="shared" si="32"/>
        <v>4.9000000000000004</v>
      </c>
      <c r="CM19" s="62">
        <v>4</v>
      </c>
      <c r="CN19" s="143"/>
      <c r="CO19" s="13">
        <f t="shared" si="22"/>
        <v>8.9</v>
      </c>
      <c r="CP19" s="62"/>
      <c r="CQ19" s="143"/>
      <c r="CR19" s="13">
        <f>CO19+CP19-CQ19</f>
        <v>8.9</v>
      </c>
      <c r="CS19" s="62"/>
      <c r="CT19" s="143"/>
      <c r="CU19" s="14">
        <f t="shared" si="23"/>
        <v>8.9</v>
      </c>
      <c r="CV19" s="5">
        <f t="shared" si="24"/>
        <v>32.799999999999997</v>
      </c>
      <c r="CW19" s="4">
        <f t="shared" si="24"/>
        <v>26.700000000000003</v>
      </c>
      <c r="CX19" s="6">
        <f t="shared" si="25"/>
        <v>8.9</v>
      </c>
      <c r="CY19" s="162">
        <v>600</v>
      </c>
      <c r="CZ19" s="171">
        <f t="shared" si="26"/>
        <v>5340</v>
      </c>
      <c r="DB19" s="2">
        <f t="shared" si="34"/>
        <v>8.9</v>
      </c>
      <c r="DC19" s="61"/>
      <c r="DD19" s="143"/>
      <c r="DE19" s="149">
        <f t="shared" si="35"/>
        <v>8.9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8.9999999999999964</v>
      </c>
      <c r="G22" s="62"/>
      <c r="H22" s="143"/>
      <c r="I22" s="13">
        <f t="shared" si="0"/>
        <v>8.9999999999999964</v>
      </c>
      <c r="J22" s="62"/>
      <c r="K22" s="143"/>
      <c r="L22" s="13">
        <f t="shared" si="1"/>
        <v>8.9999999999999964</v>
      </c>
      <c r="M22" s="62"/>
      <c r="N22" s="143"/>
      <c r="O22" s="13">
        <f t="shared" si="2"/>
        <v>8.9999999999999964</v>
      </c>
      <c r="P22" s="62">
        <v>10</v>
      </c>
      <c r="Q22" s="143">
        <v>3.7</v>
      </c>
      <c r="R22" s="30">
        <f t="shared" si="3"/>
        <v>15.299999999999997</v>
      </c>
      <c r="S22" s="62"/>
      <c r="T22" s="143">
        <f>2.5+2.1</f>
        <v>4.5999999999999996</v>
      </c>
      <c r="U22" s="13">
        <f t="shared" si="4"/>
        <v>10.699999999999998</v>
      </c>
      <c r="V22" s="62"/>
      <c r="W22" s="143">
        <f>1.7</f>
        <v>1.7</v>
      </c>
      <c r="X22" s="13">
        <f t="shared" si="5"/>
        <v>8.9999999999999982</v>
      </c>
      <c r="Y22" s="62">
        <v>10</v>
      </c>
      <c r="Z22" s="143">
        <f>0.7+1</f>
        <v>1.7</v>
      </c>
      <c r="AA22" s="13">
        <f t="shared" si="27"/>
        <v>17.3</v>
      </c>
      <c r="AB22" s="62"/>
      <c r="AC22" s="143">
        <f>1</f>
        <v>1</v>
      </c>
      <c r="AD22" s="13">
        <f t="shared" si="28"/>
        <v>16.3</v>
      </c>
      <c r="AE22" s="62"/>
      <c r="AF22" s="143"/>
      <c r="AG22" s="13">
        <f t="shared" si="29"/>
        <v>16.3</v>
      </c>
      <c r="AH22" s="62"/>
      <c r="AI22" s="143">
        <f>2</f>
        <v>2</v>
      </c>
      <c r="AJ22" s="13">
        <f t="shared" si="30"/>
        <v>14.3</v>
      </c>
      <c r="AK22" s="62"/>
      <c r="AL22" s="143">
        <f>0.2+1.8+0.5</f>
        <v>2.5</v>
      </c>
      <c r="AM22" s="13">
        <f t="shared" si="6"/>
        <v>11.8</v>
      </c>
      <c r="AN22" s="62"/>
      <c r="AO22" s="143">
        <f>0.7</f>
        <v>0.7</v>
      </c>
      <c r="AP22" s="13">
        <f t="shared" si="7"/>
        <v>11.100000000000001</v>
      </c>
      <c r="AQ22" s="62">
        <v>10</v>
      </c>
      <c r="AR22" s="143"/>
      <c r="AS22" s="13">
        <f t="shared" si="8"/>
        <v>21.1</v>
      </c>
      <c r="AT22" s="62">
        <v>10</v>
      </c>
      <c r="AU22" s="143">
        <f>0.7+1+5.5+10+1.2</f>
        <v>18.399999999999999</v>
      </c>
      <c r="AV22" s="13">
        <f t="shared" si="9"/>
        <v>12.700000000000003</v>
      </c>
      <c r="AW22" s="62"/>
      <c r="AX22" s="143">
        <f>1.5</f>
        <v>1.5</v>
      </c>
      <c r="AY22" s="13">
        <f t="shared" si="10"/>
        <v>11.200000000000003</v>
      </c>
      <c r="AZ22" s="62"/>
      <c r="BA22" s="143"/>
      <c r="BB22" s="13">
        <f t="shared" si="11"/>
        <v>11.200000000000003</v>
      </c>
      <c r="BC22" s="62"/>
      <c r="BD22" s="143">
        <f>1</f>
        <v>1</v>
      </c>
      <c r="BE22" s="13">
        <f t="shared" si="12"/>
        <v>10.200000000000003</v>
      </c>
      <c r="BF22" s="62">
        <v>20</v>
      </c>
      <c r="BG22" s="143"/>
      <c r="BH22" s="13">
        <f t="shared" si="13"/>
        <v>30.200000000000003</v>
      </c>
      <c r="BI22" s="62"/>
      <c r="BJ22" s="143">
        <f>3.3+7.9+1.9+2.3</f>
        <v>15.399999999999999</v>
      </c>
      <c r="BK22" s="13">
        <f t="shared" si="14"/>
        <v>14.800000000000004</v>
      </c>
      <c r="BL22" s="62"/>
      <c r="BM22" s="143">
        <f>1.1+1+1.6</f>
        <v>3.7</v>
      </c>
      <c r="BN22" s="13">
        <f t="shared" si="15"/>
        <v>11.100000000000005</v>
      </c>
      <c r="BO22" s="62">
        <v>10</v>
      </c>
      <c r="BP22" s="143">
        <f>0.7+4.5</f>
        <v>5.2</v>
      </c>
      <c r="BQ22" s="13">
        <f t="shared" si="16"/>
        <v>15.900000000000006</v>
      </c>
      <c r="BR22" s="62"/>
      <c r="BS22" s="143"/>
      <c r="BT22" s="13">
        <f t="shared" si="17"/>
        <v>15.900000000000006</v>
      </c>
      <c r="BU22" s="62"/>
      <c r="BV22" s="143"/>
      <c r="BW22" s="13">
        <f t="shared" si="18"/>
        <v>15.900000000000006</v>
      </c>
      <c r="BX22" s="62"/>
      <c r="BY22" s="143"/>
      <c r="BZ22" s="13">
        <f t="shared" si="19"/>
        <v>15.900000000000006</v>
      </c>
      <c r="CA22" s="62"/>
      <c r="CB22" s="143">
        <f>1.4+0.6+3.1+0.2</f>
        <v>5.3</v>
      </c>
      <c r="CC22" s="13">
        <f t="shared" si="20"/>
        <v>10.600000000000005</v>
      </c>
      <c r="CD22" s="62"/>
      <c r="CE22" s="143">
        <f>0.7+2</f>
        <v>2.7</v>
      </c>
      <c r="CF22" s="13">
        <f t="shared" si="21"/>
        <v>7.9000000000000048</v>
      </c>
      <c r="CG22" s="62">
        <v>20</v>
      </c>
      <c r="CH22" s="143">
        <f>1.4</f>
        <v>1.4</v>
      </c>
      <c r="CI22" s="13">
        <f t="shared" si="31"/>
        <v>26.500000000000007</v>
      </c>
      <c r="CJ22" s="62"/>
      <c r="CK22" s="143">
        <f>10+0.7+1</f>
        <v>11.7</v>
      </c>
      <c r="CL22" s="13">
        <f t="shared" si="32"/>
        <v>14.800000000000008</v>
      </c>
      <c r="CM22" s="62"/>
      <c r="CN22" s="143"/>
      <c r="CO22" s="13">
        <f t="shared" si="22"/>
        <v>14.800000000000008</v>
      </c>
      <c r="CP22" s="62"/>
      <c r="CQ22" s="143"/>
      <c r="CR22" s="13">
        <f t="shared" si="33"/>
        <v>14.800000000000008</v>
      </c>
      <c r="CS22" s="62"/>
      <c r="CT22" s="143"/>
      <c r="CU22" s="14">
        <f t="shared" si="23"/>
        <v>14.800000000000008</v>
      </c>
      <c r="CV22" s="5">
        <f t="shared" si="24"/>
        <v>90</v>
      </c>
      <c r="CW22" s="4">
        <f t="shared" si="24"/>
        <v>84.200000000000017</v>
      </c>
      <c r="CX22" s="6">
        <f t="shared" si="25"/>
        <v>14.800000000000008</v>
      </c>
      <c r="CY22" s="162">
        <v>250</v>
      </c>
      <c r="CZ22" s="171">
        <f t="shared" si="26"/>
        <v>3700.0000000000018</v>
      </c>
      <c r="DB22" s="2">
        <f t="shared" si="34"/>
        <v>14.800000000000008</v>
      </c>
      <c r="DC22" s="62"/>
      <c r="DD22" s="143"/>
      <c r="DE22" s="149">
        <f t="shared" si="35"/>
        <v>14.800000000000008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13</v>
      </c>
      <c r="G23" s="62">
        <v>30</v>
      </c>
      <c r="H23" s="143">
        <v>10</v>
      </c>
      <c r="I23" s="13">
        <f t="shared" si="0"/>
        <v>33</v>
      </c>
      <c r="J23" s="62"/>
      <c r="K23" s="143"/>
      <c r="L23" s="13">
        <f t="shared" si="1"/>
        <v>33</v>
      </c>
      <c r="M23" s="62"/>
      <c r="N23" s="143">
        <v>8</v>
      </c>
      <c r="O23" s="13">
        <f t="shared" si="2"/>
        <v>25</v>
      </c>
      <c r="P23" s="62">
        <v>30</v>
      </c>
      <c r="Q23" s="143">
        <v>14</v>
      </c>
      <c r="R23" s="13">
        <f t="shared" si="3"/>
        <v>41</v>
      </c>
      <c r="S23" s="62"/>
      <c r="T23" s="143">
        <f>1</f>
        <v>1</v>
      </c>
      <c r="U23" s="13">
        <f t="shared" si="4"/>
        <v>40</v>
      </c>
      <c r="V23" s="62"/>
      <c r="W23" s="143">
        <f>1+8</f>
        <v>9</v>
      </c>
      <c r="X23" s="13">
        <f t="shared" si="5"/>
        <v>31</v>
      </c>
      <c r="Y23" s="62">
        <v>30</v>
      </c>
      <c r="Z23" s="143">
        <v>16</v>
      </c>
      <c r="AA23" s="13">
        <f t="shared" si="27"/>
        <v>45</v>
      </c>
      <c r="AB23" s="62"/>
      <c r="AC23" s="143">
        <v>10</v>
      </c>
      <c r="AD23" s="13">
        <f t="shared" si="28"/>
        <v>35</v>
      </c>
      <c r="AE23" s="62"/>
      <c r="AF23" s="143"/>
      <c r="AG23" s="13">
        <f t="shared" si="29"/>
        <v>35</v>
      </c>
      <c r="AH23" s="62"/>
      <c r="AI23" s="143">
        <v>6</v>
      </c>
      <c r="AJ23" s="13">
        <f t="shared" si="30"/>
        <v>29</v>
      </c>
      <c r="AK23" s="62">
        <v>30</v>
      </c>
      <c r="AL23" s="143">
        <v>12</v>
      </c>
      <c r="AM23" s="13">
        <f t="shared" si="6"/>
        <v>47</v>
      </c>
      <c r="AN23" s="62"/>
      <c r="AO23" s="143">
        <f>1</f>
        <v>1</v>
      </c>
      <c r="AP23" s="13">
        <f t="shared" si="7"/>
        <v>46</v>
      </c>
      <c r="AQ23" s="62"/>
      <c r="AR23" s="143">
        <f>1+10</f>
        <v>11</v>
      </c>
      <c r="AS23" s="13">
        <f t="shared" si="8"/>
        <v>35</v>
      </c>
      <c r="AT23" s="62"/>
      <c r="AU23" s="143">
        <v>18</v>
      </c>
      <c r="AV23" s="13">
        <f t="shared" si="9"/>
        <v>17</v>
      </c>
      <c r="AW23" s="62">
        <f>-4+30</f>
        <v>26</v>
      </c>
      <c r="AX23" s="143">
        <v>16</v>
      </c>
      <c r="AY23" s="13">
        <f t="shared" si="10"/>
        <v>27</v>
      </c>
      <c r="AZ23" s="62"/>
      <c r="BA23" s="143"/>
      <c r="BB23" s="13">
        <f t="shared" si="11"/>
        <v>27</v>
      </c>
      <c r="BC23" s="62">
        <v>30</v>
      </c>
      <c r="BD23" s="143">
        <f>4+2</f>
        <v>6</v>
      </c>
      <c r="BE23" s="13">
        <f t="shared" si="12"/>
        <v>51</v>
      </c>
      <c r="BF23" s="62"/>
      <c r="BG23" s="143">
        <v>18</v>
      </c>
      <c r="BH23" s="13">
        <f t="shared" si="13"/>
        <v>33</v>
      </c>
      <c r="BI23" s="62"/>
      <c r="BJ23" s="143"/>
      <c r="BK23" s="13">
        <f t="shared" si="14"/>
        <v>33</v>
      </c>
      <c r="BL23" s="62"/>
      <c r="BM23" s="143">
        <f>1+6</f>
        <v>7</v>
      </c>
      <c r="BN23" s="13">
        <f t="shared" si="15"/>
        <v>26</v>
      </c>
      <c r="BO23" s="62">
        <v>30</v>
      </c>
      <c r="BP23" s="143">
        <v>6</v>
      </c>
      <c r="BQ23" s="13">
        <f t="shared" si="16"/>
        <v>50</v>
      </c>
      <c r="BR23" s="62"/>
      <c r="BS23" s="143">
        <v>14</v>
      </c>
      <c r="BT23" s="13">
        <f t="shared" si="17"/>
        <v>36</v>
      </c>
      <c r="BU23" s="62"/>
      <c r="BV23" s="143"/>
      <c r="BW23" s="13">
        <f t="shared" si="18"/>
        <v>36</v>
      </c>
      <c r="BX23" s="62"/>
      <c r="BY23" s="143">
        <v>2</v>
      </c>
      <c r="BZ23" s="13">
        <f t="shared" si="19"/>
        <v>34</v>
      </c>
      <c r="CA23" s="62">
        <v>30</v>
      </c>
      <c r="CB23" s="143">
        <v>14</v>
      </c>
      <c r="CC23" s="13">
        <f t="shared" si="20"/>
        <v>50</v>
      </c>
      <c r="CD23" s="62"/>
      <c r="CE23" s="143">
        <f>1</f>
        <v>1</v>
      </c>
      <c r="CF23" s="13">
        <f t="shared" si="21"/>
        <v>49</v>
      </c>
      <c r="CG23" s="62"/>
      <c r="CH23" s="143">
        <f>1+6</f>
        <v>7</v>
      </c>
      <c r="CI23" s="13">
        <f t="shared" si="31"/>
        <v>42</v>
      </c>
      <c r="CJ23" s="62"/>
      <c r="CK23" s="143">
        <v>14</v>
      </c>
      <c r="CL23" s="13">
        <f t="shared" si="32"/>
        <v>28</v>
      </c>
      <c r="CM23" s="62"/>
      <c r="CN23" s="143">
        <v>14</v>
      </c>
      <c r="CO23" s="13">
        <f t="shared" si="22"/>
        <v>14</v>
      </c>
      <c r="CP23" s="62"/>
      <c r="CQ23" s="143"/>
      <c r="CR23" s="13">
        <f t="shared" si="33"/>
        <v>14</v>
      </c>
      <c r="CS23" s="62"/>
      <c r="CT23" s="143"/>
      <c r="CU23" s="14">
        <f t="shared" si="23"/>
        <v>14</v>
      </c>
      <c r="CV23" s="5">
        <f t="shared" si="24"/>
        <v>236</v>
      </c>
      <c r="CW23" s="4">
        <f t="shared" si="24"/>
        <v>235</v>
      </c>
      <c r="CX23" s="6">
        <f t="shared" si="25"/>
        <v>14</v>
      </c>
      <c r="CY23" s="162">
        <v>180</v>
      </c>
      <c r="CZ23" s="171">
        <f t="shared" si="26"/>
        <v>2520</v>
      </c>
      <c r="DB23" s="2">
        <f t="shared" si="34"/>
        <v>14</v>
      </c>
      <c r="DC23" s="61"/>
      <c r="DD23" s="143"/>
      <c r="DE23" s="149">
        <f t="shared" si="35"/>
        <v>14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0</v>
      </c>
      <c r="G24" s="62"/>
      <c r="H24" s="143"/>
      <c r="I24" s="13">
        <f t="shared" si="0"/>
        <v>0</v>
      </c>
      <c r="J24" s="62"/>
      <c r="K24" s="143"/>
      <c r="L24" s="13">
        <f t="shared" si="1"/>
        <v>0</v>
      </c>
      <c r="M24" s="62"/>
      <c r="N24" s="143"/>
      <c r="O24" s="13">
        <f t="shared" si="2"/>
        <v>0</v>
      </c>
      <c r="P24" s="62">
        <f>9+9</f>
        <v>18</v>
      </c>
      <c r="Q24" s="143"/>
      <c r="R24" s="30">
        <f t="shared" si="3"/>
        <v>18</v>
      </c>
      <c r="S24" s="62"/>
      <c r="T24" s="143"/>
      <c r="U24" s="13">
        <f t="shared" si="4"/>
        <v>18</v>
      </c>
      <c r="V24" s="62"/>
      <c r="W24" s="143">
        <f>3</f>
        <v>3</v>
      </c>
      <c r="X24" s="13">
        <f t="shared" si="5"/>
        <v>15</v>
      </c>
      <c r="Y24" s="62"/>
      <c r="Z24" s="143"/>
      <c r="AA24" s="13">
        <f t="shared" si="27"/>
        <v>15</v>
      </c>
      <c r="AB24" s="62"/>
      <c r="AC24" s="143"/>
      <c r="AD24" s="13">
        <f t="shared" si="28"/>
        <v>15</v>
      </c>
      <c r="AE24" s="62"/>
      <c r="AF24" s="143"/>
      <c r="AG24" s="13">
        <f t="shared" si="29"/>
        <v>15</v>
      </c>
      <c r="AH24" s="62"/>
      <c r="AI24" s="143"/>
      <c r="AJ24" s="13">
        <f t="shared" si="30"/>
        <v>15</v>
      </c>
      <c r="AK24" s="62"/>
      <c r="AL24" s="143"/>
      <c r="AM24" s="13">
        <f t="shared" si="6"/>
        <v>15</v>
      </c>
      <c r="AN24" s="62"/>
      <c r="AO24" s="143"/>
      <c r="AP24" s="13">
        <f t="shared" si="7"/>
        <v>15</v>
      </c>
      <c r="AQ24" s="62"/>
      <c r="AR24" s="143"/>
      <c r="AS24" s="13">
        <f t="shared" si="8"/>
        <v>15</v>
      </c>
      <c r="AT24" s="62"/>
      <c r="AU24" s="143"/>
      <c r="AV24" s="13">
        <f t="shared" si="9"/>
        <v>15</v>
      </c>
      <c r="AW24" s="62"/>
      <c r="AX24" s="143">
        <f>5</f>
        <v>5</v>
      </c>
      <c r="AY24" s="13">
        <f t="shared" si="10"/>
        <v>10</v>
      </c>
      <c r="AZ24" s="62"/>
      <c r="BA24" s="143"/>
      <c r="BB24" s="13">
        <f t="shared" si="11"/>
        <v>10</v>
      </c>
      <c r="BC24" s="62"/>
      <c r="BD24" s="143">
        <f>6</f>
        <v>6</v>
      </c>
      <c r="BE24" s="13">
        <f t="shared" si="12"/>
        <v>4</v>
      </c>
      <c r="BF24" s="62"/>
      <c r="BG24" s="143"/>
      <c r="BH24" s="13">
        <f t="shared" si="13"/>
        <v>4</v>
      </c>
      <c r="BI24" s="62"/>
      <c r="BJ24" s="143"/>
      <c r="BK24" s="13">
        <f t="shared" si="14"/>
        <v>4</v>
      </c>
      <c r="BL24" s="62"/>
      <c r="BM24" s="143"/>
      <c r="BN24" s="13">
        <f t="shared" si="15"/>
        <v>4</v>
      </c>
      <c r="BO24" s="62"/>
      <c r="BP24" s="143"/>
      <c r="BQ24" s="13">
        <f t="shared" si="16"/>
        <v>4</v>
      </c>
      <c r="BR24" s="62"/>
      <c r="BS24" s="143"/>
      <c r="BT24" s="13">
        <f t="shared" si="17"/>
        <v>4</v>
      </c>
      <c r="BU24" s="62"/>
      <c r="BV24" s="143"/>
      <c r="BW24" s="13">
        <f t="shared" si="18"/>
        <v>4</v>
      </c>
      <c r="BX24" s="62"/>
      <c r="BY24" s="143"/>
      <c r="BZ24" s="13">
        <f t="shared" si="19"/>
        <v>4</v>
      </c>
      <c r="CA24" s="62"/>
      <c r="CB24" s="143"/>
      <c r="CC24" s="13">
        <f t="shared" si="20"/>
        <v>4</v>
      </c>
      <c r="CD24" s="62"/>
      <c r="CE24" s="143"/>
      <c r="CF24" s="13">
        <f t="shared" si="21"/>
        <v>4</v>
      </c>
      <c r="CG24" s="62"/>
      <c r="CH24" s="143"/>
      <c r="CI24" s="13">
        <f t="shared" si="31"/>
        <v>4</v>
      </c>
      <c r="CJ24" s="62"/>
      <c r="CK24" s="143"/>
      <c r="CL24" s="13">
        <f t="shared" si="32"/>
        <v>4</v>
      </c>
      <c r="CM24" s="62"/>
      <c r="CN24" s="143"/>
      <c r="CO24" s="13">
        <f t="shared" si="22"/>
        <v>4</v>
      </c>
      <c r="CP24" s="62"/>
      <c r="CQ24" s="143"/>
      <c r="CR24" s="13">
        <f t="shared" si="33"/>
        <v>4</v>
      </c>
      <c r="CS24" s="62"/>
      <c r="CT24" s="143"/>
      <c r="CU24" s="14">
        <f t="shared" si="23"/>
        <v>4</v>
      </c>
      <c r="CV24" s="5">
        <f t="shared" si="24"/>
        <v>18</v>
      </c>
      <c r="CW24" s="4">
        <f t="shared" si="24"/>
        <v>14</v>
      </c>
      <c r="CX24" s="6">
        <f t="shared" si="25"/>
        <v>4</v>
      </c>
      <c r="CY24" s="162">
        <v>67</v>
      </c>
      <c r="CZ24" s="171">
        <f t="shared" si="26"/>
        <v>268</v>
      </c>
      <c r="DB24" s="2">
        <f t="shared" si="34"/>
        <v>4</v>
      </c>
      <c r="DC24" s="61"/>
      <c r="DD24" s="143"/>
      <c r="DE24" s="149">
        <f t="shared" si="35"/>
        <v>4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6.5</v>
      </c>
      <c r="G25" s="62"/>
      <c r="H25" s="143"/>
      <c r="I25" s="13">
        <f t="shared" si="0"/>
        <v>6.5</v>
      </c>
      <c r="J25" s="62"/>
      <c r="K25" s="143"/>
      <c r="L25" s="13">
        <f t="shared" si="1"/>
        <v>6.5</v>
      </c>
      <c r="M25" s="62"/>
      <c r="N25" s="143"/>
      <c r="O25" s="13">
        <f t="shared" si="2"/>
        <v>6.5</v>
      </c>
      <c r="P25" s="62">
        <v>10</v>
      </c>
      <c r="Q25" s="143">
        <f>2</f>
        <v>2</v>
      </c>
      <c r="R25" s="30">
        <f t="shared" si="3"/>
        <v>14.5</v>
      </c>
      <c r="S25" s="62"/>
      <c r="T25" s="143">
        <f>2+1+1+1</f>
        <v>5</v>
      </c>
      <c r="U25" s="13">
        <f t="shared" si="4"/>
        <v>9.5</v>
      </c>
      <c r="V25" s="62">
        <v>10</v>
      </c>
      <c r="W25" s="143">
        <f>1+1.5+0.5+1.5</f>
        <v>4.5</v>
      </c>
      <c r="X25" s="13">
        <f t="shared" si="5"/>
        <v>15</v>
      </c>
      <c r="Y25" s="62"/>
      <c r="Z25" s="143">
        <f>3+0.5+0.5+0.5+1</f>
        <v>5.5</v>
      </c>
      <c r="AA25" s="13">
        <f t="shared" si="27"/>
        <v>9.5</v>
      </c>
      <c r="AB25" s="62">
        <v>10</v>
      </c>
      <c r="AC25" s="143">
        <f>1</f>
        <v>1</v>
      </c>
      <c r="AD25" s="13">
        <f t="shared" si="28"/>
        <v>18.5</v>
      </c>
      <c r="AE25" s="62"/>
      <c r="AF25" s="143"/>
      <c r="AG25" s="13">
        <f t="shared" si="29"/>
        <v>18.5</v>
      </c>
      <c r="AH25" s="62">
        <v>10</v>
      </c>
      <c r="AI25" s="143">
        <f>1+1.5+1+1.5</f>
        <v>5</v>
      </c>
      <c r="AJ25" s="13">
        <f t="shared" si="30"/>
        <v>23.5</v>
      </c>
      <c r="AK25" s="62"/>
      <c r="AL25" s="143">
        <f>0.5+2+1.5+2+2</f>
        <v>8</v>
      </c>
      <c r="AM25" s="13">
        <f t="shared" si="6"/>
        <v>15.5</v>
      </c>
      <c r="AN25" s="62"/>
      <c r="AO25" s="143">
        <f>1.5+1.5+1.5</f>
        <v>4.5</v>
      </c>
      <c r="AP25" s="13">
        <f t="shared" si="7"/>
        <v>11</v>
      </c>
      <c r="AQ25" s="62">
        <v>10</v>
      </c>
      <c r="AR25" s="143">
        <f>2+1+1+0.5</f>
        <v>4.5</v>
      </c>
      <c r="AS25" s="13">
        <f t="shared" si="8"/>
        <v>16.5</v>
      </c>
      <c r="AT25" s="62"/>
      <c r="AU25" s="143">
        <f>3+1</f>
        <v>4</v>
      </c>
      <c r="AV25" s="13">
        <f t="shared" si="9"/>
        <v>12.5</v>
      </c>
      <c r="AW25" s="62">
        <v>10</v>
      </c>
      <c r="AX25" s="143"/>
      <c r="AY25" s="13">
        <f t="shared" si="10"/>
        <v>22.5</v>
      </c>
      <c r="AZ25" s="62"/>
      <c r="BA25" s="143"/>
      <c r="BB25" s="13">
        <f t="shared" si="11"/>
        <v>22.5</v>
      </c>
      <c r="BC25" s="62"/>
      <c r="BD25" s="143">
        <f>2.5+2.5+5</f>
        <v>10</v>
      </c>
      <c r="BE25" s="13">
        <f t="shared" si="12"/>
        <v>12.5</v>
      </c>
      <c r="BF25" s="62">
        <v>10</v>
      </c>
      <c r="BG25" s="143">
        <f>3</f>
        <v>3</v>
      </c>
      <c r="BH25" s="13">
        <f t="shared" si="13"/>
        <v>19.5</v>
      </c>
      <c r="BI25" s="62"/>
      <c r="BJ25" s="143">
        <f>2.5</f>
        <v>2.5</v>
      </c>
      <c r="BK25" s="13">
        <f t="shared" si="14"/>
        <v>17</v>
      </c>
      <c r="BL25" s="62">
        <v>8</v>
      </c>
      <c r="BM25" s="143">
        <f>1.5+1.5+1.5+1+1+1.5+1</f>
        <v>9</v>
      </c>
      <c r="BN25" s="13">
        <f t="shared" si="15"/>
        <v>16</v>
      </c>
      <c r="BO25" s="62"/>
      <c r="BP25" s="143">
        <f>4</f>
        <v>4</v>
      </c>
      <c r="BQ25" s="13">
        <f t="shared" si="16"/>
        <v>12</v>
      </c>
      <c r="BR25" s="62"/>
      <c r="BS25" s="143">
        <f>1+1</f>
        <v>2</v>
      </c>
      <c r="BT25" s="13">
        <f t="shared" si="17"/>
        <v>10</v>
      </c>
      <c r="BU25" s="62"/>
      <c r="BV25" s="143"/>
      <c r="BW25" s="13">
        <f t="shared" si="18"/>
        <v>10</v>
      </c>
      <c r="BX25" s="62"/>
      <c r="BY25" s="143"/>
      <c r="BZ25" s="13">
        <f t="shared" si="19"/>
        <v>10</v>
      </c>
      <c r="CA25" s="62">
        <v>8</v>
      </c>
      <c r="CB25" s="143">
        <f>8.5+0.5</f>
        <v>9</v>
      </c>
      <c r="CC25" s="13">
        <f t="shared" si="20"/>
        <v>9</v>
      </c>
      <c r="CD25" s="62"/>
      <c r="CE25" s="143">
        <f>1+0.5+0.5+0.5</f>
        <v>2.5</v>
      </c>
      <c r="CF25" s="13">
        <f t="shared" si="21"/>
        <v>6.5</v>
      </c>
      <c r="CG25" s="62">
        <v>10</v>
      </c>
      <c r="CH25" s="143">
        <f>2</f>
        <v>2</v>
      </c>
      <c r="CI25" s="13">
        <f t="shared" si="31"/>
        <v>14.5</v>
      </c>
      <c r="CJ25" s="62"/>
      <c r="CK25" s="143">
        <f>3</f>
        <v>3</v>
      </c>
      <c r="CL25" s="13">
        <f t="shared" si="32"/>
        <v>11.5</v>
      </c>
      <c r="CM25" s="62"/>
      <c r="CN25" s="143"/>
      <c r="CO25" s="13">
        <f t="shared" si="22"/>
        <v>11.5</v>
      </c>
      <c r="CP25" s="62"/>
      <c r="CQ25" s="143"/>
      <c r="CR25" s="13">
        <f t="shared" si="33"/>
        <v>11.5</v>
      </c>
      <c r="CS25" s="62"/>
      <c r="CT25" s="143"/>
      <c r="CU25" s="14">
        <f t="shared" si="23"/>
        <v>11.5</v>
      </c>
      <c r="CV25" s="5">
        <f t="shared" si="24"/>
        <v>96</v>
      </c>
      <c r="CW25" s="4">
        <f t="shared" si="24"/>
        <v>91</v>
      </c>
      <c r="CX25" s="6">
        <f t="shared" si="25"/>
        <v>11.5</v>
      </c>
      <c r="CY25" s="162">
        <v>140</v>
      </c>
      <c r="CZ25" s="171">
        <f t="shared" si="26"/>
        <v>1610</v>
      </c>
      <c r="DB25" s="2">
        <f t="shared" si="34"/>
        <v>11.5</v>
      </c>
      <c r="DC25" s="61"/>
      <c r="DD25" s="143"/>
      <c r="DE25" s="149">
        <f t="shared" si="35"/>
        <v>11.5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15</v>
      </c>
      <c r="G26" s="62">
        <v>10</v>
      </c>
      <c r="H26" s="143">
        <v>7</v>
      </c>
      <c r="I26" s="13">
        <f t="shared" si="0"/>
        <v>18</v>
      </c>
      <c r="J26" s="62"/>
      <c r="K26" s="143"/>
      <c r="L26" s="13">
        <f t="shared" si="1"/>
        <v>18</v>
      </c>
      <c r="M26" s="62"/>
      <c r="N26" s="143">
        <v>7</v>
      </c>
      <c r="O26" s="13">
        <f t="shared" si="2"/>
        <v>11</v>
      </c>
      <c r="P26" s="62">
        <v>15</v>
      </c>
      <c r="Q26" s="143">
        <v>6</v>
      </c>
      <c r="R26" s="30">
        <f t="shared" si="3"/>
        <v>20</v>
      </c>
      <c r="S26" s="62"/>
      <c r="T26" s="143"/>
      <c r="U26" s="13">
        <f t="shared" si="4"/>
        <v>20</v>
      </c>
      <c r="V26" s="62"/>
      <c r="W26" s="143">
        <v>6</v>
      </c>
      <c r="X26" s="13">
        <f t="shared" si="5"/>
        <v>14</v>
      </c>
      <c r="Y26" s="62">
        <v>10</v>
      </c>
      <c r="Z26" s="143">
        <v>5</v>
      </c>
      <c r="AA26" s="13">
        <f t="shared" si="27"/>
        <v>19</v>
      </c>
      <c r="AB26" s="62"/>
      <c r="AC26" s="143">
        <v>5</v>
      </c>
      <c r="AD26" s="13">
        <f t="shared" si="28"/>
        <v>14</v>
      </c>
      <c r="AE26" s="62"/>
      <c r="AF26" s="143"/>
      <c r="AG26" s="13">
        <f t="shared" si="29"/>
        <v>14</v>
      </c>
      <c r="AH26" s="62">
        <f>15</f>
        <v>15</v>
      </c>
      <c r="AI26" s="143">
        <v>8</v>
      </c>
      <c r="AJ26" s="13">
        <f t="shared" si="30"/>
        <v>21</v>
      </c>
      <c r="AK26" s="62"/>
      <c r="AL26" s="143">
        <v>4</v>
      </c>
      <c r="AM26" s="13">
        <f t="shared" si="6"/>
        <v>17</v>
      </c>
      <c r="AN26" s="62"/>
      <c r="AO26" s="143"/>
      <c r="AP26" s="13">
        <f t="shared" si="7"/>
        <v>17</v>
      </c>
      <c r="AQ26" s="62"/>
      <c r="AR26" s="143">
        <v>4</v>
      </c>
      <c r="AS26" s="13">
        <f t="shared" si="8"/>
        <v>13</v>
      </c>
      <c r="AT26" s="62">
        <v>10</v>
      </c>
      <c r="AU26" s="143">
        <v>4</v>
      </c>
      <c r="AV26" s="13">
        <f t="shared" si="9"/>
        <v>19</v>
      </c>
      <c r="AW26" s="62"/>
      <c r="AX26" s="143">
        <v>8</v>
      </c>
      <c r="AY26" s="13">
        <f t="shared" si="10"/>
        <v>11</v>
      </c>
      <c r="AZ26" s="62"/>
      <c r="BA26" s="143"/>
      <c r="BB26" s="13">
        <f t="shared" si="11"/>
        <v>11</v>
      </c>
      <c r="BC26" s="62">
        <v>15</v>
      </c>
      <c r="BD26" s="143">
        <v>4</v>
      </c>
      <c r="BE26" s="13">
        <f t="shared" si="12"/>
        <v>22</v>
      </c>
      <c r="BF26" s="62"/>
      <c r="BG26" s="143">
        <v>5</v>
      </c>
      <c r="BH26" s="13">
        <f t="shared" si="13"/>
        <v>17</v>
      </c>
      <c r="BI26" s="62"/>
      <c r="BJ26" s="143"/>
      <c r="BK26" s="13">
        <f t="shared" si="14"/>
        <v>17</v>
      </c>
      <c r="BL26" s="62"/>
      <c r="BM26" s="143">
        <v>5</v>
      </c>
      <c r="BN26" s="13">
        <f t="shared" si="15"/>
        <v>12</v>
      </c>
      <c r="BO26" s="62">
        <v>25</v>
      </c>
      <c r="BP26" s="143">
        <v>4</v>
      </c>
      <c r="BQ26" s="13">
        <f t="shared" si="16"/>
        <v>33</v>
      </c>
      <c r="BR26" s="62"/>
      <c r="BS26" s="143">
        <v>6</v>
      </c>
      <c r="BT26" s="13">
        <f t="shared" si="17"/>
        <v>27</v>
      </c>
      <c r="BU26" s="62"/>
      <c r="BV26" s="143"/>
      <c r="BW26" s="13">
        <f t="shared" si="18"/>
        <v>27</v>
      </c>
      <c r="BX26" s="62"/>
      <c r="BY26" s="143">
        <v>5</v>
      </c>
      <c r="BZ26" s="13">
        <f t="shared" si="19"/>
        <v>22</v>
      </c>
      <c r="CA26" s="62"/>
      <c r="CB26" s="143">
        <v>7</v>
      </c>
      <c r="CC26" s="13">
        <f t="shared" si="20"/>
        <v>15</v>
      </c>
      <c r="CD26" s="62"/>
      <c r="CE26" s="143"/>
      <c r="CF26" s="13">
        <f t="shared" si="21"/>
        <v>15</v>
      </c>
      <c r="CG26" s="62"/>
      <c r="CH26" s="143">
        <v>5</v>
      </c>
      <c r="CI26" s="13">
        <f t="shared" si="31"/>
        <v>10</v>
      </c>
      <c r="CJ26" s="62">
        <v>10</v>
      </c>
      <c r="CK26" s="143">
        <v>4</v>
      </c>
      <c r="CL26" s="13">
        <f t="shared" si="32"/>
        <v>16</v>
      </c>
      <c r="CM26" s="62"/>
      <c r="CN26" s="143">
        <v>7</v>
      </c>
      <c r="CO26" s="13">
        <f t="shared" si="22"/>
        <v>9</v>
      </c>
      <c r="CP26" s="62"/>
      <c r="CQ26" s="143"/>
      <c r="CR26" s="13">
        <f t="shared" si="33"/>
        <v>9</v>
      </c>
      <c r="CS26" s="62"/>
      <c r="CT26" s="143"/>
      <c r="CU26" s="14">
        <f t="shared" si="23"/>
        <v>9</v>
      </c>
      <c r="CV26" s="5">
        <f t="shared" si="24"/>
        <v>110</v>
      </c>
      <c r="CW26" s="4">
        <f t="shared" si="24"/>
        <v>116</v>
      </c>
      <c r="CX26" s="6">
        <f t="shared" si="25"/>
        <v>9</v>
      </c>
      <c r="CY26" s="162">
        <v>3800</v>
      </c>
      <c r="CZ26" s="171">
        <f t="shared" si="26"/>
        <v>34200</v>
      </c>
      <c r="DB26" s="2">
        <f t="shared" si="34"/>
        <v>9</v>
      </c>
      <c r="DC26" s="61"/>
      <c r="DD26" s="143"/>
      <c r="DE26" s="149">
        <f t="shared" si="35"/>
        <v>9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40</v>
      </c>
      <c r="E27" s="34" t="s">
        <v>68</v>
      </c>
      <c r="F27" s="14">
        <v>29.799999999999962</v>
      </c>
      <c r="G27" s="62">
        <v>40</v>
      </c>
      <c r="H27" s="143"/>
      <c r="I27" s="13">
        <f t="shared" si="0"/>
        <v>69.799999999999955</v>
      </c>
      <c r="J27" s="62"/>
      <c r="K27" s="143"/>
      <c r="L27" s="13">
        <f t="shared" si="1"/>
        <v>69.799999999999955</v>
      </c>
      <c r="M27" s="62"/>
      <c r="N27" s="143"/>
      <c r="O27" s="13">
        <f t="shared" si="2"/>
        <v>69.799999999999955</v>
      </c>
      <c r="P27" s="62">
        <v>40</v>
      </c>
      <c r="Q27" s="143">
        <f>3.2+1.4+1+1.7+1.1+0.8+0.8+0.2+10+0.5</f>
        <v>20.700000000000003</v>
      </c>
      <c r="R27" s="30">
        <f t="shared" si="3"/>
        <v>89.099999999999952</v>
      </c>
      <c r="S27" s="62"/>
      <c r="T27" s="143">
        <f>1.3+2.6+2.2+0.9+0.8+1+1.3</f>
        <v>10.100000000000001</v>
      </c>
      <c r="U27" s="13">
        <f t="shared" si="4"/>
        <v>78.999999999999943</v>
      </c>
      <c r="V27" s="62"/>
      <c r="W27" s="143">
        <f>1.3+0.9+1.9+1.2+1.2+0.9+1.8+5</f>
        <v>14.200000000000001</v>
      </c>
      <c r="X27" s="13">
        <f t="shared" si="5"/>
        <v>64.79999999999994</v>
      </c>
      <c r="Y27" s="62"/>
      <c r="Z27" s="143">
        <f>0.3+0.2+0.3+0.2+0.3</f>
        <v>1.3</v>
      </c>
      <c r="AA27" s="13">
        <f t="shared" si="27"/>
        <v>63.499999999999943</v>
      </c>
      <c r="AB27" s="62"/>
      <c r="AC27" s="143">
        <f>2.2+2.1+3</f>
        <v>7.3000000000000007</v>
      </c>
      <c r="AD27" s="13">
        <f t="shared" si="28"/>
        <v>56.199999999999946</v>
      </c>
      <c r="AE27" s="62"/>
      <c r="AF27" s="143"/>
      <c r="AG27" s="13">
        <f t="shared" si="29"/>
        <v>56.199999999999946</v>
      </c>
      <c r="AH27" s="62">
        <v>40</v>
      </c>
      <c r="AI27" s="143">
        <f>4+2.3+2.4+2.2+1.5+4</f>
        <v>16.399999999999999</v>
      </c>
      <c r="AJ27" s="13">
        <f t="shared" si="30"/>
        <v>79.799999999999955</v>
      </c>
      <c r="AK27" s="62"/>
      <c r="AL27" s="143">
        <f>0.2+10+1.8+1.8+2.1+3+1.5+4.8</f>
        <v>25.2</v>
      </c>
      <c r="AM27" s="13">
        <f t="shared" si="6"/>
        <v>54.599999999999952</v>
      </c>
      <c r="AN27" s="62"/>
      <c r="AO27" s="143">
        <f>2.6+0.8</f>
        <v>3.4000000000000004</v>
      </c>
      <c r="AP27" s="13">
        <f t="shared" si="7"/>
        <v>51.199999999999953</v>
      </c>
      <c r="AQ27" s="62">
        <v>20</v>
      </c>
      <c r="AR27" s="143">
        <f>10+2.1+1+2.5+1.5+2</f>
        <v>19.100000000000001</v>
      </c>
      <c r="AS27" s="13">
        <f t="shared" si="8"/>
        <v>52.099999999999959</v>
      </c>
      <c r="AT27" s="62"/>
      <c r="AU27" s="143">
        <f>1.9+0.4+0.3+0.1</f>
        <v>2.6999999999999997</v>
      </c>
      <c r="AV27" s="13">
        <f t="shared" si="9"/>
        <v>49.399999999999956</v>
      </c>
      <c r="AW27" s="62">
        <v>40</v>
      </c>
      <c r="AX27" s="143">
        <f>1.9+1.5+1.5</f>
        <v>4.9000000000000004</v>
      </c>
      <c r="AY27" s="13">
        <f t="shared" si="10"/>
        <v>84.499999999999943</v>
      </c>
      <c r="AZ27" s="62"/>
      <c r="BA27" s="143"/>
      <c r="BB27" s="13">
        <f t="shared" si="11"/>
        <v>84.499999999999943</v>
      </c>
      <c r="BC27" s="62"/>
      <c r="BD27" s="143">
        <f>2+1+1+3.2+1.2+2.1+1.8+1+4.5</f>
        <v>17.8</v>
      </c>
      <c r="BE27" s="13">
        <f t="shared" si="12"/>
        <v>66.699999999999946</v>
      </c>
      <c r="BF27" s="62">
        <v>40</v>
      </c>
      <c r="BG27" s="143">
        <f>0.4+10+3.2+1+2.2+0.5+1.9+0.5+1.9+2.8</f>
        <v>24.4</v>
      </c>
      <c r="BH27" s="13">
        <f t="shared" si="13"/>
        <v>82.299999999999955</v>
      </c>
      <c r="BI27" s="62"/>
      <c r="BJ27" s="143">
        <f>1.3+2.2+0.9+1.2+1.3+2</f>
        <v>8.9</v>
      </c>
      <c r="BK27" s="13">
        <f t="shared" si="14"/>
        <v>73.399999999999949</v>
      </c>
      <c r="BL27" s="62"/>
      <c r="BM27" s="143">
        <f>1.3+1.9+0.9+0.8+1.8+1.5+1.1+4.6</f>
        <v>13.899999999999999</v>
      </c>
      <c r="BN27" s="13">
        <f t="shared" si="15"/>
        <v>59.49999999999995</v>
      </c>
      <c r="BO27" s="62"/>
      <c r="BP27" s="143">
        <f>10+0.3+0.3+0.5+0.2+0.2</f>
        <v>11.5</v>
      </c>
      <c r="BQ27" s="13">
        <f t="shared" si="16"/>
        <v>47.99999999999995</v>
      </c>
      <c r="BR27" s="62"/>
      <c r="BS27" s="143"/>
      <c r="BT27" s="13">
        <f t="shared" si="17"/>
        <v>47.99999999999995</v>
      </c>
      <c r="BU27" s="62"/>
      <c r="BV27" s="143"/>
      <c r="BW27" s="13">
        <f t="shared" si="18"/>
        <v>47.99999999999995</v>
      </c>
      <c r="BX27" s="62"/>
      <c r="BY27" s="143"/>
      <c r="BZ27" s="13">
        <f t="shared" si="19"/>
        <v>47.99999999999995</v>
      </c>
      <c r="CA27" s="62">
        <v>40</v>
      </c>
      <c r="CB27" s="143">
        <f>1.3+1.8+2+1.7+1.1+1.2+0.8+4+0.2+1.2</f>
        <v>15.299999999999999</v>
      </c>
      <c r="CC27" s="13">
        <f t="shared" si="20"/>
        <v>72.699999999999946</v>
      </c>
      <c r="CD27" s="62"/>
      <c r="CE27" s="143">
        <f>2.6+0.9+5</f>
        <v>8.5</v>
      </c>
      <c r="CF27" s="13">
        <f t="shared" si="21"/>
        <v>64.199999999999946</v>
      </c>
      <c r="CG27" s="62"/>
      <c r="CH27" s="143">
        <f>1.9+1.4+0.9+0.8+2.5+0.9</f>
        <v>8.4</v>
      </c>
      <c r="CI27" s="13">
        <f t="shared" si="31"/>
        <v>55.799999999999947</v>
      </c>
      <c r="CJ27" s="62"/>
      <c r="CK27" s="143">
        <f>10+1.9+0.5+0.3+0.1+2.2+0.1+0.4</f>
        <v>15.5</v>
      </c>
      <c r="CL27" s="13">
        <f t="shared" si="32"/>
        <v>40.299999999999947</v>
      </c>
      <c r="CM27" s="62"/>
      <c r="CN27" s="143">
        <f>0.5+1.2</f>
        <v>1.7</v>
      </c>
      <c r="CO27" s="13">
        <f t="shared" si="22"/>
        <v>38.599999999999945</v>
      </c>
      <c r="CP27" s="62"/>
      <c r="CQ27" s="143"/>
      <c r="CR27" s="13">
        <f t="shared" si="33"/>
        <v>38.599999999999945</v>
      </c>
      <c r="CS27" s="62"/>
      <c r="CT27" s="143"/>
      <c r="CU27" s="14">
        <f t="shared" si="23"/>
        <v>38.599999999999945</v>
      </c>
      <c r="CV27" s="5">
        <f t="shared" si="24"/>
        <v>260</v>
      </c>
      <c r="CW27" s="4">
        <f t="shared" si="24"/>
        <v>251.20000000000005</v>
      </c>
      <c r="CX27" s="6">
        <f t="shared" si="25"/>
        <v>38.599999999999945</v>
      </c>
      <c r="CY27" s="162">
        <v>230</v>
      </c>
      <c r="CZ27" s="171">
        <f t="shared" si="26"/>
        <v>8877.9999999999873</v>
      </c>
      <c r="DB27" s="2">
        <f t="shared" si="34"/>
        <v>38.599999999999945</v>
      </c>
      <c r="DC27" s="61"/>
      <c r="DD27" s="143"/>
      <c r="DE27" s="149">
        <f t="shared" si="35"/>
        <v>38.599999999999945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22</v>
      </c>
      <c r="G28" s="62"/>
      <c r="H28" s="143">
        <v>3.6</v>
      </c>
      <c r="I28" s="13">
        <f t="shared" si="0"/>
        <v>18.399999999999999</v>
      </c>
      <c r="J28" s="62"/>
      <c r="K28" s="143"/>
      <c r="L28" s="13">
        <f t="shared" si="1"/>
        <v>18.399999999999999</v>
      </c>
      <c r="M28" s="62"/>
      <c r="N28" s="143">
        <v>1.2</v>
      </c>
      <c r="O28" s="13">
        <f t="shared" si="2"/>
        <v>17.2</v>
      </c>
      <c r="P28" s="62"/>
      <c r="Q28" s="143">
        <v>6</v>
      </c>
      <c r="R28" s="30">
        <f t="shared" si="3"/>
        <v>11.2</v>
      </c>
      <c r="S28" s="62"/>
      <c r="T28" s="143"/>
      <c r="U28" s="13">
        <f t="shared" si="4"/>
        <v>11.2</v>
      </c>
      <c r="V28" s="62"/>
      <c r="W28" s="143"/>
      <c r="X28" s="13">
        <f t="shared" si="5"/>
        <v>11.2</v>
      </c>
      <c r="Y28" s="62"/>
      <c r="Z28" s="143">
        <v>1.2</v>
      </c>
      <c r="AA28" s="13">
        <f t="shared" si="27"/>
        <v>10</v>
      </c>
      <c r="AB28" s="62"/>
      <c r="AC28" s="143">
        <v>3.6</v>
      </c>
      <c r="AD28" s="13">
        <f t="shared" si="28"/>
        <v>6.4</v>
      </c>
      <c r="AE28" s="62"/>
      <c r="AF28" s="143"/>
      <c r="AG28" s="13">
        <f t="shared" si="29"/>
        <v>6.4</v>
      </c>
      <c r="AH28" s="62"/>
      <c r="AI28" s="143">
        <v>1</v>
      </c>
      <c r="AJ28" s="13">
        <f t="shared" si="30"/>
        <v>5.4</v>
      </c>
      <c r="AK28" s="62"/>
      <c r="AL28" s="143"/>
      <c r="AM28" s="13">
        <f t="shared" si="6"/>
        <v>5.4</v>
      </c>
      <c r="AN28" s="62"/>
      <c r="AO28" s="143"/>
      <c r="AP28" s="13">
        <f t="shared" si="7"/>
        <v>5.4</v>
      </c>
      <c r="AQ28" s="62">
        <v>20</v>
      </c>
      <c r="AR28" s="143">
        <v>2</v>
      </c>
      <c r="AS28" s="13">
        <f t="shared" si="8"/>
        <v>23.4</v>
      </c>
      <c r="AT28" s="62"/>
      <c r="AU28" s="143"/>
      <c r="AV28" s="13">
        <f t="shared" si="9"/>
        <v>23.4</v>
      </c>
      <c r="AW28" s="62"/>
      <c r="AX28" s="143">
        <v>3.8</v>
      </c>
      <c r="AY28" s="13">
        <f t="shared" si="10"/>
        <v>19.599999999999998</v>
      </c>
      <c r="AZ28" s="62"/>
      <c r="BA28" s="143"/>
      <c r="BB28" s="13">
        <f t="shared" si="11"/>
        <v>19.599999999999998</v>
      </c>
      <c r="BC28" s="62"/>
      <c r="BD28" s="143"/>
      <c r="BE28" s="13">
        <f t="shared" si="12"/>
        <v>19.599999999999998</v>
      </c>
      <c r="BF28" s="62"/>
      <c r="BG28" s="143">
        <v>0.5</v>
      </c>
      <c r="BH28" s="13">
        <f t="shared" si="13"/>
        <v>19.099999999999998</v>
      </c>
      <c r="BI28" s="62"/>
      <c r="BJ28" s="143"/>
      <c r="BK28" s="13">
        <f t="shared" si="14"/>
        <v>19.099999999999998</v>
      </c>
      <c r="BL28" s="62"/>
      <c r="BM28" s="143">
        <v>1</v>
      </c>
      <c r="BN28" s="13">
        <f t="shared" si="15"/>
        <v>18.099999999999998</v>
      </c>
      <c r="BO28" s="62"/>
      <c r="BP28" s="143"/>
      <c r="BQ28" s="13">
        <f t="shared" si="16"/>
        <v>18.099999999999998</v>
      </c>
      <c r="BR28" s="62"/>
      <c r="BS28" s="143">
        <v>2</v>
      </c>
      <c r="BT28" s="13">
        <f t="shared" si="17"/>
        <v>16.099999999999998</v>
      </c>
      <c r="BU28" s="62"/>
      <c r="BV28" s="143"/>
      <c r="BW28" s="13">
        <f t="shared" si="18"/>
        <v>16.099999999999998</v>
      </c>
      <c r="BX28" s="64">
        <v>-1</v>
      </c>
      <c r="BY28" s="143"/>
      <c r="BZ28" s="13">
        <f t="shared" si="19"/>
        <v>15.099999999999998</v>
      </c>
      <c r="CA28" s="62"/>
      <c r="CB28" s="143">
        <v>3</v>
      </c>
      <c r="CC28" s="13">
        <f t="shared" si="20"/>
        <v>12.099999999999998</v>
      </c>
      <c r="CD28" s="62"/>
      <c r="CE28" s="143"/>
      <c r="CF28" s="13">
        <f t="shared" si="21"/>
        <v>12.099999999999998</v>
      </c>
      <c r="CG28" s="62"/>
      <c r="CH28" s="143"/>
      <c r="CI28" s="13">
        <f t="shared" si="31"/>
        <v>12.099999999999998</v>
      </c>
      <c r="CJ28" s="62"/>
      <c r="CK28" s="143">
        <v>1</v>
      </c>
      <c r="CL28" s="13">
        <f t="shared" si="32"/>
        <v>11.099999999999998</v>
      </c>
      <c r="CM28" s="62"/>
      <c r="CN28" s="143">
        <v>2</v>
      </c>
      <c r="CO28" s="13">
        <f t="shared" si="22"/>
        <v>9.0999999999999979</v>
      </c>
      <c r="CP28" s="62"/>
      <c r="CQ28" s="143"/>
      <c r="CR28" s="13">
        <f t="shared" si="33"/>
        <v>9.0999999999999979</v>
      </c>
      <c r="CS28" s="62"/>
      <c r="CT28" s="143"/>
      <c r="CU28" s="14">
        <f t="shared" si="23"/>
        <v>9.0999999999999979</v>
      </c>
      <c r="CV28" s="5">
        <f t="shared" si="24"/>
        <v>19</v>
      </c>
      <c r="CW28" s="4">
        <f t="shared" si="24"/>
        <v>31.900000000000002</v>
      </c>
      <c r="CX28" s="6">
        <f t="shared" si="25"/>
        <v>9.0999999999999979</v>
      </c>
      <c r="CY28" s="162">
        <v>85</v>
      </c>
      <c r="CZ28" s="171">
        <f t="shared" si="26"/>
        <v>773.49999999999977</v>
      </c>
      <c r="DB28" s="2">
        <f t="shared" si="34"/>
        <v>9.0999999999999979</v>
      </c>
      <c r="DC28" s="61"/>
      <c r="DD28" s="143"/>
      <c r="DE28" s="149">
        <f t="shared" si="35"/>
        <v>9.0999999999999979</v>
      </c>
    </row>
    <row r="29" spans="1:109" ht="15.75" customHeight="1">
      <c r="A29" s="33"/>
      <c r="B29" s="7" t="s">
        <v>70</v>
      </c>
      <c r="C29" s="105" t="s">
        <v>30</v>
      </c>
      <c r="D29" s="35" t="s">
        <v>315</v>
      </c>
      <c r="E29" s="35" t="s">
        <v>71</v>
      </c>
      <c r="F29" s="14">
        <v>52</v>
      </c>
      <c r="G29" s="62">
        <f>-120+150+140+30</f>
        <v>200</v>
      </c>
      <c r="H29" s="143">
        <f>15+9+27</f>
        <v>51</v>
      </c>
      <c r="I29" s="13">
        <f t="shared" si="0"/>
        <v>201</v>
      </c>
      <c r="J29" s="62"/>
      <c r="K29" s="143"/>
      <c r="L29" s="13">
        <f t="shared" si="1"/>
        <v>201</v>
      </c>
      <c r="M29" s="62"/>
      <c r="N29" s="143">
        <f>6+11+97</f>
        <v>114</v>
      </c>
      <c r="O29" s="13">
        <f t="shared" si="2"/>
        <v>87</v>
      </c>
      <c r="P29" s="62">
        <f>-54+1+40+100</f>
        <v>87</v>
      </c>
      <c r="Q29" s="143">
        <f>5+5+13+8+57</f>
        <v>88</v>
      </c>
      <c r="R29" s="30">
        <f t="shared" si="3"/>
        <v>86</v>
      </c>
      <c r="S29" s="62"/>
      <c r="T29" s="143"/>
      <c r="U29" s="13">
        <f t="shared" si="4"/>
        <v>86</v>
      </c>
      <c r="V29" s="62">
        <f>60+20</f>
        <v>80</v>
      </c>
      <c r="W29" s="143">
        <f>14+5+66</f>
        <v>85</v>
      </c>
      <c r="X29" s="13">
        <f>U29+V29-W29</f>
        <v>81</v>
      </c>
      <c r="Y29" s="62">
        <f>-33+80+60</f>
        <v>107</v>
      </c>
      <c r="Z29" s="143">
        <f>3+10+3+65</f>
        <v>81</v>
      </c>
      <c r="AA29" s="13">
        <f t="shared" si="27"/>
        <v>107</v>
      </c>
      <c r="AB29" s="62">
        <f>-60+80+60</f>
        <v>80</v>
      </c>
      <c r="AC29" s="143">
        <f>12+7+84</f>
        <v>103</v>
      </c>
      <c r="AD29" s="13">
        <f t="shared" si="28"/>
        <v>84</v>
      </c>
      <c r="AE29" s="62"/>
      <c r="AF29" s="143"/>
      <c r="AG29" s="13">
        <f>AD29+AE29-AF29</f>
        <v>84</v>
      </c>
      <c r="AH29" s="62">
        <f>-23+90+30</f>
        <v>97</v>
      </c>
      <c r="AI29" s="143">
        <f>5+5+10+5+59</f>
        <v>84</v>
      </c>
      <c r="AJ29" s="13">
        <f t="shared" si="30"/>
        <v>97</v>
      </c>
      <c r="AK29" s="62">
        <f>-7+80+40-15</f>
        <v>98</v>
      </c>
      <c r="AL29" s="143">
        <f>6+9+82</f>
        <v>97</v>
      </c>
      <c r="AM29" s="13">
        <f t="shared" si="6"/>
        <v>98</v>
      </c>
      <c r="AN29" s="62"/>
      <c r="AO29" s="143">
        <f>9</f>
        <v>9</v>
      </c>
      <c r="AP29" s="13">
        <f t="shared" si="7"/>
        <v>89</v>
      </c>
      <c r="AQ29" s="62">
        <f>-40+10+120</f>
        <v>90</v>
      </c>
      <c r="AR29" s="143">
        <f>9+10+69</f>
        <v>88</v>
      </c>
      <c r="AS29" s="13">
        <f t="shared" si="8"/>
        <v>91</v>
      </c>
      <c r="AT29" s="62">
        <f>-32+90+50</f>
        <v>108</v>
      </c>
      <c r="AU29" s="143">
        <f>7+12+7+65</f>
        <v>91</v>
      </c>
      <c r="AV29" s="13">
        <f t="shared" si="9"/>
        <v>108</v>
      </c>
      <c r="AW29" s="62">
        <f>-29+100</f>
        <v>71</v>
      </c>
      <c r="AX29" s="143">
        <f>16+12+80+10</f>
        <v>118</v>
      </c>
      <c r="AY29" s="13">
        <f t="shared" si="10"/>
        <v>61</v>
      </c>
      <c r="AZ29" s="62"/>
      <c r="BA29" s="143"/>
      <c r="BB29" s="13">
        <f t="shared" si="11"/>
        <v>61</v>
      </c>
      <c r="BC29" s="62">
        <f>-63+100+40</f>
        <v>77</v>
      </c>
      <c r="BD29" s="143">
        <f>6+55</f>
        <v>61</v>
      </c>
      <c r="BE29" s="13">
        <f t="shared" si="12"/>
        <v>77</v>
      </c>
      <c r="BF29" s="62">
        <f>-90+80+100</f>
        <v>90</v>
      </c>
      <c r="BG29" s="143">
        <f>3+2+5+8+57</f>
        <v>75</v>
      </c>
      <c r="BH29" s="13">
        <f t="shared" si="13"/>
        <v>92</v>
      </c>
      <c r="BI29" s="62"/>
      <c r="BJ29" s="143"/>
      <c r="BK29" s="13">
        <f t="shared" si="14"/>
        <v>92</v>
      </c>
      <c r="BL29" s="62">
        <f>-33+80+40</f>
        <v>87</v>
      </c>
      <c r="BM29" s="143">
        <f>11+4+5+72</f>
        <v>92</v>
      </c>
      <c r="BN29" s="13">
        <f t="shared" si="15"/>
        <v>87</v>
      </c>
      <c r="BO29" s="62">
        <f>-30+80+80</f>
        <v>130</v>
      </c>
      <c r="BP29" s="143">
        <f>8+5+70</f>
        <v>83</v>
      </c>
      <c r="BQ29" s="13">
        <f t="shared" si="16"/>
        <v>134</v>
      </c>
      <c r="BR29" s="62">
        <f>-80+80+150+30+10</f>
        <v>190</v>
      </c>
      <c r="BS29" s="143">
        <f>18+8+107</f>
        <v>133</v>
      </c>
      <c r="BT29" s="13">
        <f t="shared" si="17"/>
        <v>191</v>
      </c>
      <c r="BU29" s="62"/>
      <c r="BV29" s="143"/>
      <c r="BW29" s="13">
        <f t="shared" si="18"/>
        <v>191</v>
      </c>
      <c r="BX29" s="62"/>
      <c r="BY29" s="143">
        <f>12+5+98</f>
        <v>115</v>
      </c>
      <c r="BZ29" s="13">
        <f t="shared" si="19"/>
        <v>76</v>
      </c>
      <c r="CA29" s="62">
        <f>-50+40+80+30</f>
        <v>100</v>
      </c>
      <c r="CB29" s="143">
        <f>8+7+59</f>
        <v>74</v>
      </c>
      <c r="CC29" s="13">
        <f t="shared" si="20"/>
        <v>102</v>
      </c>
      <c r="CD29" s="62"/>
      <c r="CE29" s="143">
        <f>9</f>
        <v>9</v>
      </c>
      <c r="CF29" s="13">
        <f t="shared" si="21"/>
        <v>93</v>
      </c>
      <c r="CG29" s="62">
        <f>-35+80+40</f>
        <v>85</v>
      </c>
      <c r="CH29" s="143">
        <f>8+9+76</f>
        <v>93</v>
      </c>
      <c r="CI29" s="13">
        <f t="shared" si="31"/>
        <v>85</v>
      </c>
      <c r="CJ29" s="62">
        <f>-43+30+70+30-4</f>
        <v>83</v>
      </c>
      <c r="CK29" s="143">
        <f>7+9+2+67</f>
        <v>85</v>
      </c>
      <c r="CL29" s="13">
        <f t="shared" si="32"/>
        <v>83</v>
      </c>
      <c r="CM29" s="62">
        <f>-90+110+30</f>
        <v>50</v>
      </c>
      <c r="CN29" s="143">
        <f>4+12+8+59</f>
        <v>83</v>
      </c>
      <c r="CO29" s="13">
        <f t="shared" si="22"/>
        <v>50</v>
      </c>
      <c r="CP29" s="62"/>
      <c r="CQ29" s="143"/>
      <c r="CR29" s="13">
        <f t="shared" si="33"/>
        <v>50</v>
      </c>
      <c r="CS29" s="62"/>
      <c r="CT29" s="143"/>
      <c r="CU29" s="14">
        <f t="shared" si="23"/>
        <v>50</v>
      </c>
      <c r="CV29" s="5">
        <f t="shared" si="24"/>
        <v>1910</v>
      </c>
      <c r="CW29" s="4">
        <f t="shared" si="24"/>
        <v>1912</v>
      </c>
      <c r="CX29" s="6">
        <f t="shared" si="25"/>
        <v>50</v>
      </c>
      <c r="CY29" s="162">
        <v>135</v>
      </c>
      <c r="CZ29" s="171">
        <f t="shared" si="26"/>
        <v>6750</v>
      </c>
      <c r="DB29" s="2">
        <f t="shared" si="34"/>
        <v>50</v>
      </c>
      <c r="DC29" s="61"/>
      <c r="DD29" s="143"/>
      <c r="DE29" s="149">
        <f t="shared" si="35"/>
        <v>50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0</v>
      </c>
      <c r="G32" s="62"/>
      <c r="H32" s="143"/>
      <c r="I32" s="13">
        <f t="shared" si="0"/>
        <v>0</v>
      </c>
      <c r="J32" s="62"/>
      <c r="K32" s="143"/>
      <c r="L32" s="13">
        <f t="shared" si="1"/>
        <v>0</v>
      </c>
      <c r="M32" s="62"/>
      <c r="N32" s="143"/>
      <c r="O32" s="13">
        <f t="shared" si="2"/>
        <v>0</v>
      </c>
      <c r="P32" s="62"/>
      <c r="Q32" s="143"/>
      <c r="R32" s="30">
        <f t="shared" si="3"/>
        <v>0</v>
      </c>
      <c r="S32" s="62"/>
      <c r="T32" s="143"/>
      <c r="U32" s="13">
        <f t="shared" si="4"/>
        <v>0</v>
      </c>
      <c r="V32" s="62"/>
      <c r="W32" s="143"/>
      <c r="X32" s="13">
        <f t="shared" si="5"/>
        <v>0</v>
      </c>
      <c r="Y32" s="62"/>
      <c r="Z32" s="143"/>
      <c r="AA32" s="13">
        <f t="shared" si="27"/>
        <v>0</v>
      </c>
      <c r="AB32" s="62"/>
      <c r="AC32" s="143"/>
      <c r="AD32" s="13">
        <f t="shared" si="28"/>
        <v>0</v>
      </c>
      <c r="AE32" s="62"/>
      <c r="AF32" s="143"/>
      <c r="AG32" s="13">
        <f t="shared" si="29"/>
        <v>0</v>
      </c>
      <c r="AH32" s="62"/>
      <c r="AI32" s="143"/>
      <c r="AJ32" s="13">
        <f t="shared" si="30"/>
        <v>0</v>
      </c>
      <c r="AK32" s="62"/>
      <c r="AL32" s="143"/>
      <c r="AM32" s="13">
        <f t="shared" si="6"/>
        <v>0</v>
      </c>
      <c r="AN32" s="62"/>
      <c r="AO32" s="143"/>
      <c r="AP32" s="13">
        <f t="shared" si="7"/>
        <v>0</v>
      </c>
      <c r="AQ32" s="62"/>
      <c r="AR32" s="143"/>
      <c r="AS32" s="13">
        <f t="shared" si="8"/>
        <v>0</v>
      </c>
      <c r="AT32" s="62"/>
      <c r="AU32" s="143"/>
      <c r="AV32" s="13">
        <f t="shared" si="9"/>
        <v>0</v>
      </c>
      <c r="AW32" s="62"/>
      <c r="AX32" s="143"/>
      <c r="AY32" s="13">
        <f t="shared" si="10"/>
        <v>0</v>
      </c>
      <c r="AZ32" s="62"/>
      <c r="BA32" s="143"/>
      <c r="BB32" s="13">
        <f t="shared" si="11"/>
        <v>0</v>
      </c>
      <c r="BC32" s="62"/>
      <c r="BD32" s="143"/>
      <c r="BE32" s="13">
        <f t="shared" si="12"/>
        <v>0</v>
      </c>
      <c r="BF32" s="62"/>
      <c r="BG32" s="143"/>
      <c r="BH32" s="13">
        <f t="shared" si="13"/>
        <v>0</v>
      </c>
      <c r="BI32" s="62"/>
      <c r="BJ32" s="143"/>
      <c r="BK32" s="13">
        <f t="shared" si="14"/>
        <v>0</v>
      </c>
      <c r="BL32" s="62"/>
      <c r="BM32" s="143"/>
      <c r="BN32" s="13">
        <f t="shared" si="15"/>
        <v>0</v>
      </c>
      <c r="BO32" s="62"/>
      <c r="BP32" s="143"/>
      <c r="BQ32" s="13">
        <f t="shared" si="16"/>
        <v>0</v>
      </c>
      <c r="BR32" s="62"/>
      <c r="BS32" s="143"/>
      <c r="BT32" s="13">
        <f t="shared" si="17"/>
        <v>0</v>
      </c>
      <c r="BU32" s="62"/>
      <c r="BV32" s="143"/>
      <c r="BW32" s="13">
        <f t="shared" si="18"/>
        <v>0</v>
      </c>
      <c r="BX32" s="62"/>
      <c r="BY32" s="143"/>
      <c r="BZ32" s="13">
        <f t="shared" si="19"/>
        <v>0</v>
      </c>
      <c r="CA32" s="62"/>
      <c r="CB32" s="143"/>
      <c r="CC32" s="13">
        <f t="shared" si="20"/>
        <v>0</v>
      </c>
      <c r="CD32" s="62"/>
      <c r="CE32" s="143"/>
      <c r="CF32" s="13">
        <f t="shared" si="21"/>
        <v>0</v>
      </c>
      <c r="CG32" s="62"/>
      <c r="CH32" s="143"/>
      <c r="CI32" s="13">
        <f t="shared" si="31"/>
        <v>0</v>
      </c>
      <c r="CJ32" s="62"/>
      <c r="CK32" s="143"/>
      <c r="CL32" s="13">
        <f t="shared" si="32"/>
        <v>0</v>
      </c>
      <c r="CM32" s="62"/>
      <c r="CN32" s="143"/>
      <c r="CO32" s="13">
        <f t="shared" si="22"/>
        <v>0</v>
      </c>
      <c r="CP32" s="62"/>
      <c r="CQ32" s="143"/>
      <c r="CR32" s="13">
        <f t="shared" si="33"/>
        <v>0</v>
      </c>
      <c r="CS32" s="62"/>
      <c r="CT32" s="143"/>
      <c r="CU32" s="14">
        <f t="shared" si="23"/>
        <v>0</v>
      </c>
      <c r="CV32" s="5">
        <f t="shared" si="24"/>
        <v>0</v>
      </c>
      <c r="CW32" s="4">
        <f t="shared" si="24"/>
        <v>0</v>
      </c>
      <c r="CX32" s="6">
        <f t="shared" si="25"/>
        <v>0</v>
      </c>
      <c r="CY32" s="162">
        <v>0</v>
      </c>
      <c r="CZ32" s="171">
        <f t="shared" si="26"/>
        <v>0</v>
      </c>
      <c r="DB32" s="2">
        <f t="shared" si="34"/>
        <v>0</v>
      </c>
      <c r="DC32" s="61"/>
      <c r="DD32" s="143"/>
      <c r="DE32" s="149">
        <f t="shared" si="35"/>
        <v>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317</v>
      </c>
      <c r="E36" s="35" t="s">
        <v>51</v>
      </c>
      <c r="F36" s="14">
        <v>12</v>
      </c>
      <c r="G36" s="62">
        <f>2+4+4+1</f>
        <v>11</v>
      </c>
      <c r="H36" s="143">
        <v>8</v>
      </c>
      <c r="I36" s="13">
        <f t="shared" si="0"/>
        <v>15</v>
      </c>
      <c r="J36" s="62"/>
      <c r="K36" s="143"/>
      <c r="L36" s="13">
        <f t="shared" si="1"/>
        <v>15</v>
      </c>
      <c r="M36" s="62"/>
      <c r="N36" s="143">
        <v>5</v>
      </c>
      <c r="O36" s="13">
        <f t="shared" si="2"/>
        <v>10</v>
      </c>
      <c r="P36" s="62">
        <f>4+2+4+1</f>
        <v>11</v>
      </c>
      <c r="Q36" s="143">
        <f>1+9</f>
        <v>10</v>
      </c>
      <c r="R36" s="30">
        <f t="shared" si="3"/>
        <v>11</v>
      </c>
      <c r="S36" s="62"/>
      <c r="T36" s="143"/>
      <c r="U36" s="13">
        <f t="shared" si="4"/>
        <v>11</v>
      </c>
      <c r="V36" s="62">
        <f>2+4+4</f>
        <v>10</v>
      </c>
      <c r="W36" s="143">
        <v>7</v>
      </c>
      <c r="X36" s="13">
        <f t="shared" si="5"/>
        <v>14</v>
      </c>
      <c r="Y36" s="62">
        <f>2+4</f>
        <v>6</v>
      </c>
      <c r="Z36" s="143">
        <v>4</v>
      </c>
      <c r="AA36" s="13">
        <f t="shared" si="27"/>
        <v>16</v>
      </c>
      <c r="AB36" s="62">
        <f>2+4</f>
        <v>6</v>
      </c>
      <c r="AC36" s="143">
        <f>1+8</f>
        <v>9</v>
      </c>
      <c r="AD36" s="13">
        <f t="shared" si="28"/>
        <v>13</v>
      </c>
      <c r="AE36" s="62"/>
      <c r="AF36" s="143"/>
      <c r="AG36" s="13">
        <f t="shared" si="29"/>
        <v>13</v>
      </c>
      <c r="AH36" s="62">
        <f>2+4</f>
        <v>6</v>
      </c>
      <c r="AI36" s="143">
        <v>6</v>
      </c>
      <c r="AJ36" s="13">
        <f t="shared" si="30"/>
        <v>13</v>
      </c>
      <c r="AK36" s="62">
        <f>4+2</f>
        <v>6</v>
      </c>
      <c r="AL36" s="143">
        <v>8</v>
      </c>
      <c r="AM36" s="13">
        <f t="shared" si="6"/>
        <v>11</v>
      </c>
      <c r="AN36" s="62"/>
      <c r="AO36" s="143"/>
      <c r="AP36" s="13">
        <f t="shared" si="7"/>
        <v>11</v>
      </c>
      <c r="AQ36" s="62">
        <v>6</v>
      </c>
      <c r="AR36" s="143">
        <f>5+1</f>
        <v>6</v>
      </c>
      <c r="AS36" s="13">
        <f t="shared" si="8"/>
        <v>11</v>
      </c>
      <c r="AT36" s="62">
        <f>2+4</f>
        <v>6</v>
      </c>
      <c r="AU36" s="143">
        <v>7</v>
      </c>
      <c r="AV36" s="13">
        <f t="shared" si="9"/>
        <v>10</v>
      </c>
      <c r="AW36" s="62">
        <v>8</v>
      </c>
      <c r="AX36" s="143">
        <f>7</f>
        <v>7</v>
      </c>
      <c r="AY36" s="13">
        <f t="shared" si="10"/>
        <v>11</v>
      </c>
      <c r="AZ36" s="62"/>
      <c r="BA36" s="143"/>
      <c r="BB36" s="13">
        <f t="shared" si="11"/>
        <v>11</v>
      </c>
      <c r="BC36" s="62">
        <f>2+2+4</f>
        <v>8</v>
      </c>
      <c r="BD36" s="143">
        <v>8</v>
      </c>
      <c r="BE36" s="13">
        <f t="shared" si="12"/>
        <v>11</v>
      </c>
      <c r="BF36" s="62">
        <f>2+4</f>
        <v>6</v>
      </c>
      <c r="BG36" s="143">
        <v>8</v>
      </c>
      <c r="BH36" s="13">
        <f t="shared" si="13"/>
        <v>9</v>
      </c>
      <c r="BI36" s="62"/>
      <c r="BJ36" s="143"/>
      <c r="BK36" s="13">
        <f t="shared" si="14"/>
        <v>9</v>
      </c>
      <c r="BL36" s="62">
        <f>2+4+4</f>
        <v>10</v>
      </c>
      <c r="BM36" s="143">
        <v>5</v>
      </c>
      <c r="BN36" s="13">
        <f t="shared" si="15"/>
        <v>14</v>
      </c>
      <c r="BO36" s="62">
        <f>2+4+4</f>
        <v>10</v>
      </c>
      <c r="BP36" s="143">
        <v>1</v>
      </c>
      <c r="BQ36" s="13">
        <f t="shared" si="16"/>
        <v>23</v>
      </c>
      <c r="BR36" s="62">
        <f>2+4+4</f>
        <v>10</v>
      </c>
      <c r="BS36" s="143">
        <v>11</v>
      </c>
      <c r="BT36" s="13">
        <f t="shared" si="17"/>
        <v>22</v>
      </c>
      <c r="BU36" s="62"/>
      <c r="BV36" s="143"/>
      <c r="BW36" s="13">
        <f t="shared" si="18"/>
        <v>22</v>
      </c>
      <c r="BX36" s="62"/>
      <c r="BY36" s="143">
        <v>4</v>
      </c>
      <c r="BZ36" s="13">
        <f t="shared" si="19"/>
        <v>18</v>
      </c>
      <c r="CA36" s="62">
        <f>2+4</f>
        <v>6</v>
      </c>
      <c r="CB36" s="143">
        <v>6</v>
      </c>
      <c r="CC36" s="13">
        <f t="shared" si="20"/>
        <v>18</v>
      </c>
      <c r="CD36" s="62">
        <v>6</v>
      </c>
      <c r="CE36" s="143"/>
      <c r="CF36" s="13">
        <f t="shared" si="21"/>
        <v>24</v>
      </c>
      <c r="CG36" s="62">
        <v>6</v>
      </c>
      <c r="CH36" s="143">
        <v>6</v>
      </c>
      <c r="CI36" s="13">
        <f t="shared" si="31"/>
        <v>24</v>
      </c>
      <c r="CJ36" s="62">
        <f>2+4</f>
        <v>6</v>
      </c>
      <c r="CK36" s="143">
        <v>5</v>
      </c>
      <c r="CL36" s="13">
        <f t="shared" si="32"/>
        <v>25</v>
      </c>
      <c r="CM36" s="62">
        <f>2+4</f>
        <v>6</v>
      </c>
      <c r="CN36" s="143">
        <v>10</v>
      </c>
      <c r="CO36" s="13">
        <f t="shared" si="22"/>
        <v>21</v>
      </c>
      <c r="CP36" s="62"/>
      <c r="CQ36" s="143"/>
      <c r="CR36" s="13">
        <f t="shared" si="33"/>
        <v>21</v>
      </c>
      <c r="CS36" s="62"/>
      <c r="CT36" s="143"/>
      <c r="CU36" s="14">
        <f t="shared" si="23"/>
        <v>21</v>
      </c>
      <c r="CV36" s="5">
        <f t="shared" si="24"/>
        <v>150</v>
      </c>
      <c r="CW36" s="4">
        <f t="shared" si="24"/>
        <v>141</v>
      </c>
      <c r="CX36" s="6">
        <f t="shared" si="25"/>
        <v>21</v>
      </c>
      <c r="CY36" s="162">
        <v>2000</v>
      </c>
      <c r="CZ36" s="171">
        <f t="shared" si="26"/>
        <v>42000</v>
      </c>
      <c r="DB36" s="2">
        <f t="shared" si="34"/>
        <v>21</v>
      </c>
      <c r="DC36" s="61"/>
      <c r="DD36" s="143"/>
      <c r="DE36" s="149">
        <f t="shared" si="35"/>
        <v>21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/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 t="s">
        <v>320</v>
      </c>
      <c r="E39" s="34" t="s">
        <v>83</v>
      </c>
      <c r="F39" s="14">
        <v>11</v>
      </c>
      <c r="G39" s="62">
        <f>-38+20+60</f>
        <v>42</v>
      </c>
      <c r="H39" s="143">
        <f>11+2</f>
        <v>13</v>
      </c>
      <c r="I39" s="13">
        <f t="shared" si="0"/>
        <v>40</v>
      </c>
      <c r="J39" s="62"/>
      <c r="K39" s="143"/>
      <c r="L39" s="13">
        <f t="shared" si="1"/>
        <v>40</v>
      </c>
      <c r="M39" s="62"/>
      <c r="N39" s="143">
        <f>3+20</f>
        <v>23</v>
      </c>
      <c r="O39" s="13">
        <f t="shared" si="2"/>
        <v>17</v>
      </c>
      <c r="P39" s="62">
        <f>-23+40</f>
        <v>17</v>
      </c>
      <c r="Q39" s="143">
        <f>7+4+6</f>
        <v>17</v>
      </c>
      <c r="R39" s="30">
        <f t="shared" si="3"/>
        <v>17</v>
      </c>
      <c r="S39" s="62"/>
      <c r="T39" s="143"/>
      <c r="U39" s="13">
        <f t="shared" si="4"/>
        <v>17</v>
      </c>
      <c r="V39" s="62"/>
      <c r="W39" s="143">
        <f>2+2</f>
        <v>4</v>
      </c>
      <c r="X39" s="13">
        <f t="shared" si="5"/>
        <v>13</v>
      </c>
      <c r="Y39" s="62">
        <f>-9+10+20</f>
        <v>21</v>
      </c>
      <c r="Z39" s="143">
        <f>1+12</f>
        <v>13</v>
      </c>
      <c r="AA39" s="13">
        <f t="shared" si="27"/>
        <v>21</v>
      </c>
      <c r="AB39" s="62">
        <f>-16+30</f>
        <v>14</v>
      </c>
      <c r="AC39" s="143">
        <f>3+18</f>
        <v>21</v>
      </c>
      <c r="AD39" s="13">
        <f t="shared" si="28"/>
        <v>14</v>
      </c>
      <c r="AE39" s="62"/>
      <c r="AF39" s="143"/>
      <c r="AG39" s="13">
        <f t="shared" si="29"/>
        <v>14</v>
      </c>
      <c r="AH39" s="62">
        <f>-2+10+20</f>
        <v>28</v>
      </c>
      <c r="AI39" s="143">
        <f>2+12</f>
        <v>14</v>
      </c>
      <c r="AJ39" s="13">
        <f t="shared" si="30"/>
        <v>28</v>
      </c>
      <c r="AK39" s="62">
        <v>10</v>
      </c>
      <c r="AL39" s="143">
        <f>6+9+4</f>
        <v>19</v>
      </c>
      <c r="AM39" s="13">
        <f t="shared" si="6"/>
        <v>19</v>
      </c>
      <c r="AN39" s="62"/>
      <c r="AO39" s="143"/>
      <c r="AP39" s="13">
        <f t="shared" si="7"/>
        <v>19</v>
      </c>
      <c r="AQ39" s="62">
        <v>30</v>
      </c>
      <c r="AR39" s="143">
        <f>2+16</f>
        <v>18</v>
      </c>
      <c r="AS39" s="13">
        <f t="shared" si="8"/>
        <v>31</v>
      </c>
      <c r="AT39" s="62">
        <v>40</v>
      </c>
      <c r="AU39" s="143">
        <f>4+2+16</f>
        <v>22</v>
      </c>
      <c r="AV39" s="13">
        <f t="shared" si="9"/>
        <v>49</v>
      </c>
      <c r="AW39" s="62">
        <v>20</v>
      </c>
      <c r="AX39" s="143">
        <f>6+2+22+1+3</f>
        <v>34</v>
      </c>
      <c r="AY39" s="13">
        <f t="shared" si="10"/>
        <v>35</v>
      </c>
      <c r="AZ39" s="62"/>
      <c r="BA39" s="143"/>
      <c r="BB39" s="13">
        <f t="shared" si="11"/>
        <v>35</v>
      </c>
      <c r="BC39" s="62">
        <v>10</v>
      </c>
      <c r="BD39" s="143">
        <f>3+12</f>
        <v>15</v>
      </c>
      <c r="BE39" s="13">
        <f t="shared" si="12"/>
        <v>30</v>
      </c>
      <c r="BF39" s="62">
        <f>-17+20+20</f>
        <v>23</v>
      </c>
      <c r="BG39" s="143">
        <f>7+12+11</f>
        <v>30</v>
      </c>
      <c r="BH39" s="13">
        <f t="shared" si="13"/>
        <v>23</v>
      </c>
      <c r="BI39" s="62"/>
      <c r="BJ39" s="190">
        <v>2</v>
      </c>
      <c r="BK39" s="13">
        <f t="shared" si="14"/>
        <v>21</v>
      </c>
      <c r="BL39" s="62">
        <f>-24+4+30+30</f>
        <v>40</v>
      </c>
      <c r="BM39" s="143">
        <f>3+15+3</f>
        <v>21</v>
      </c>
      <c r="BN39" s="13">
        <f t="shared" si="15"/>
        <v>40</v>
      </c>
      <c r="BO39" s="62">
        <v>20</v>
      </c>
      <c r="BP39" s="143">
        <f>1+1+4+12</f>
        <v>18</v>
      </c>
      <c r="BQ39" s="13">
        <f t="shared" si="16"/>
        <v>42</v>
      </c>
      <c r="BR39" s="62">
        <f>-13+30+40</f>
        <v>57</v>
      </c>
      <c r="BS39" s="143">
        <f>11+31</f>
        <v>42</v>
      </c>
      <c r="BT39" s="13">
        <f t="shared" si="17"/>
        <v>57</v>
      </c>
      <c r="BU39" s="62"/>
      <c r="BV39" s="143"/>
      <c r="BW39" s="13">
        <f t="shared" si="18"/>
        <v>57</v>
      </c>
      <c r="BX39" s="62"/>
      <c r="BY39" s="143">
        <f>2+8+27</f>
        <v>37</v>
      </c>
      <c r="BZ39" s="13">
        <f t="shared" si="19"/>
        <v>20</v>
      </c>
      <c r="CA39" s="62">
        <f>20+10</f>
        <v>30</v>
      </c>
      <c r="CB39" s="143">
        <f>6+3+9</f>
        <v>18</v>
      </c>
      <c r="CC39" s="13">
        <f t="shared" si="20"/>
        <v>32</v>
      </c>
      <c r="CD39" s="62"/>
      <c r="CE39" s="143"/>
      <c r="CF39" s="13">
        <f t="shared" si="21"/>
        <v>32</v>
      </c>
      <c r="CG39" s="62">
        <v>20</v>
      </c>
      <c r="CH39" s="143">
        <f>2+7+12</f>
        <v>21</v>
      </c>
      <c r="CI39" s="13">
        <f t="shared" si="31"/>
        <v>31</v>
      </c>
      <c r="CJ39" s="62">
        <v>10</v>
      </c>
      <c r="CK39" s="143">
        <f>4+11</f>
        <v>15</v>
      </c>
      <c r="CL39" s="13">
        <f t="shared" si="32"/>
        <v>26</v>
      </c>
      <c r="CM39" s="62">
        <f>-10+30</f>
        <v>20</v>
      </c>
      <c r="CN39" s="143">
        <f>2+4+20</f>
        <v>26</v>
      </c>
      <c r="CO39" s="13">
        <f t="shared" si="22"/>
        <v>20</v>
      </c>
      <c r="CP39" s="62"/>
      <c r="CQ39" s="143"/>
      <c r="CR39" s="13">
        <f t="shared" si="33"/>
        <v>20</v>
      </c>
      <c r="CS39" s="62"/>
      <c r="CT39" s="143"/>
      <c r="CU39" s="14">
        <f t="shared" si="23"/>
        <v>20</v>
      </c>
      <c r="CV39" s="5">
        <f t="shared" si="36"/>
        <v>452</v>
      </c>
      <c r="CW39" s="4">
        <f t="shared" si="36"/>
        <v>443</v>
      </c>
      <c r="CX39" s="6">
        <f t="shared" si="25"/>
        <v>20</v>
      </c>
      <c r="CY39" s="162">
        <v>14</v>
      </c>
      <c r="CZ39" s="171">
        <f t="shared" si="26"/>
        <v>280</v>
      </c>
      <c r="DB39" s="2">
        <f t="shared" si="34"/>
        <v>20</v>
      </c>
      <c r="DC39" s="61"/>
      <c r="DD39" s="143"/>
      <c r="DE39" s="149">
        <f t="shared" si="35"/>
        <v>20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20</v>
      </c>
      <c r="E40" s="159" t="s">
        <v>85</v>
      </c>
      <c r="F40" s="14">
        <v>24.499999999999993</v>
      </c>
      <c r="G40" s="62"/>
      <c r="H40" s="143">
        <f>1.1</f>
        <v>1.1000000000000001</v>
      </c>
      <c r="I40" s="13">
        <f t="shared" si="0"/>
        <v>23.399999999999991</v>
      </c>
      <c r="J40" s="62"/>
      <c r="K40" s="143"/>
      <c r="L40" s="13">
        <f t="shared" si="1"/>
        <v>23.399999999999991</v>
      </c>
      <c r="M40" s="62"/>
      <c r="N40" s="143"/>
      <c r="O40" s="13">
        <f t="shared" si="2"/>
        <v>23.399999999999991</v>
      </c>
      <c r="P40" s="62">
        <v>30</v>
      </c>
      <c r="Q40" s="143">
        <f>1+1.3+1.2+2+1.7+0.9+2.2+1.2+1.5+0.5+0.4+0.2+3.4</f>
        <v>17.5</v>
      </c>
      <c r="R40" s="30">
        <f t="shared" si="3"/>
        <v>35.899999999999991</v>
      </c>
      <c r="S40" s="62"/>
      <c r="T40" s="143">
        <f>2.6+2.5+0.8+1.1+1+1.2+1.4</f>
        <v>10.6</v>
      </c>
      <c r="U40" s="13">
        <f t="shared" si="4"/>
        <v>25.29999999999999</v>
      </c>
      <c r="V40" s="62">
        <v>20</v>
      </c>
      <c r="W40" s="143">
        <f>1.5+2.1+1.6+0.8+1.9+1.6+0.7</f>
        <v>10.199999999999999</v>
      </c>
      <c r="X40" s="13">
        <f t="shared" si="5"/>
        <v>35.099999999999994</v>
      </c>
      <c r="Y40" s="62"/>
      <c r="Z40" s="143">
        <f>2.1+0.4+0.2+0.5+0.2+0.2+0.4</f>
        <v>4.0000000000000009</v>
      </c>
      <c r="AA40" s="13">
        <f t="shared" si="27"/>
        <v>31.099999999999994</v>
      </c>
      <c r="AB40" s="62">
        <v>20</v>
      </c>
      <c r="AC40" s="143">
        <f>2.1+2</f>
        <v>4.0999999999999996</v>
      </c>
      <c r="AD40" s="13">
        <f t="shared" si="28"/>
        <v>46.999999999999993</v>
      </c>
      <c r="AE40" s="62"/>
      <c r="AF40" s="143"/>
      <c r="AG40" s="13">
        <f t="shared" si="29"/>
        <v>46.999999999999993</v>
      </c>
      <c r="AH40" s="62">
        <v>20</v>
      </c>
      <c r="AI40" s="143">
        <f>1+1.9+1.7+1.4+1.8+2.6+0.9+1.1+0.8+0.9+0.6+5</f>
        <v>19.700000000000003</v>
      </c>
      <c r="AJ40" s="13">
        <f t="shared" si="30"/>
        <v>47.3</v>
      </c>
      <c r="AK40" s="62"/>
      <c r="AL40" s="143">
        <f>1+1.5+2.5+1.6+0.7+1.9+1.5</f>
        <v>10.7</v>
      </c>
      <c r="AM40" s="13">
        <f t="shared" si="6"/>
        <v>36.599999999999994</v>
      </c>
      <c r="AN40" s="62"/>
      <c r="AO40" s="143">
        <f>1.2+0.9+0.9+0.9+0.8+1.2+0.4+4.1</f>
        <v>10.4</v>
      </c>
      <c r="AP40" s="13">
        <f t="shared" si="7"/>
        <v>26.199999999999996</v>
      </c>
      <c r="AQ40" s="62">
        <v>20</v>
      </c>
      <c r="AR40" s="143">
        <f>1.5+1+1.5+1.2+0.5+1+0.4</f>
        <v>7.1000000000000005</v>
      </c>
      <c r="AS40" s="13">
        <f t="shared" si="8"/>
        <v>39.099999999999994</v>
      </c>
      <c r="AT40" s="62"/>
      <c r="AU40" s="143">
        <f>1.4+0.2+0.5+0.2+0.1+0.4</f>
        <v>2.8</v>
      </c>
      <c r="AV40" s="13">
        <f t="shared" si="9"/>
        <v>36.299999999999997</v>
      </c>
      <c r="AW40" s="62">
        <v>20</v>
      </c>
      <c r="AX40" s="143">
        <f>2.1+0.6+0.7</f>
        <v>3.4000000000000004</v>
      </c>
      <c r="AY40" s="13">
        <f t="shared" si="10"/>
        <v>52.9</v>
      </c>
      <c r="AZ40" s="62"/>
      <c r="BA40" s="143"/>
      <c r="BB40" s="13">
        <f t="shared" si="11"/>
        <v>52.9</v>
      </c>
      <c r="BC40" s="62"/>
      <c r="BD40" s="143">
        <f>1.4+2+1+1.1+1.5+1+1.6+0.9+1+0.5+5.5</f>
        <v>17.5</v>
      </c>
      <c r="BE40" s="13">
        <f t="shared" si="12"/>
        <v>35.4</v>
      </c>
      <c r="BF40" s="62">
        <v>20</v>
      </c>
      <c r="BG40" s="143">
        <f>0.3+1+1+1.5+2.2+1.2+1.3+1.6+1.3+0.5</f>
        <v>11.9</v>
      </c>
      <c r="BH40" s="13">
        <f t="shared" si="13"/>
        <v>43.5</v>
      </c>
      <c r="BI40" s="62"/>
      <c r="BJ40" s="143">
        <f>3.1+1.7+0.9+1.2+1.5+1.1+0.5</f>
        <v>10</v>
      </c>
      <c r="BK40" s="13">
        <f t="shared" si="14"/>
        <v>33.5</v>
      </c>
      <c r="BL40" s="62">
        <v>20</v>
      </c>
      <c r="BM40" s="143">
        <f>0.9+1.2+1.5+1+2.6+0.8+0.6+2.1</f>
        <v>10.7</v>
      </c>
      <c r="BN40" s="13">
        <f t="shared" si="15"/>
        <v>42.8</v>
      </c>
      <c r="BO40" s="62"/>
      <c r="BP40" s="143">
        <f>3.1+0.4+0.5+0.2+0.2</f>
        <v>4.4000000000000004</v>
      </c>
      <c r="BQ40" s="13">
        <f t="shared" si="16"/>
        <v>38.4</v>
      </c>
      <c r="BR40" s="62"/>
      <c r="BS40" s="143">
        <f>1.3</f>
        <v>1.3</v>
      </c>
      <c r="BT40" s="13">
        <f t="shared" si="17"/>
        <v>37.1</v>
      </c>
      <c r="BU40" s="62"/>
      <c r="BV40" s="143"/>
      <c r="BW40" s="13">
        <f t="shared" si="18"/>
        <v>37.1</v>
      </c>
      <c r="BX40" s="62"/>
      <c r="BY40" s="143"/>
      <c r="BZ40" s="13">
        <f t="shared" si="19"/>
        <v>37.1</v>
      </c>
      <c r="CA40" s="62">
        <v>20</v>
      </c>
      <c r="CB40" s="143">
        <f>1.3+2.2+1.7+2+1.6+0.9+0.9+1.8+1.2+1.1+0.6+0.3+5</f>
        <v>20.6</v>
      </c>
      <c r="CC40" s="13">
        <f t="shared" si="20"/>
        <v>36.5</v>
      </c>
      <c r="CD40" s="62"/>
      <c r="CE40" s="143">
        <f>1.2+1.5+0.9+0.4+1.2+1.4+0.6+1.4</f>
        <v>8.6</v>
      </c>
      <c r="CF40" s="13">
        <f t="shared" si="21"/>
        <v>27.9</v>
      </c>
      <c r="CG40" s="62">
        <v>10</v>
      </c>
      <c r="CH40" s="143">
        <f>1.4+2.2+1.6+1.5+0.6+2+1.2</f>
        <v>10.5</v>
      </c>
      <c r="CI40" s="13">
        <f t="shared" si="31"/>
        <v>27.4</v>
      </c>
      <c r="CJ40" s="62"/>
      <c r="CK40" s="143">
        <f>1.3+0.2+0.5+0.2+0.3+0.3+0.4</f>
        <v>3.1999999999999997</v>
      </c>
      <c r="CL40" s="13">
        <f t="shared" si="32"/>
        <v>24.2</v>
      </c>
      <c r="CM40" s="62">
        <v>20</v>
      </c>
      <c r="CN40" s="143">
        <f>1.7+1.6+1</f>
        <v>4.3</v>
      </c>
      <c r="CO40" s="13">
        <f t="shared" si="22"/>
        <v>39.900000000000006</v>
      </c>
      <c r="CP40" s="62"/>
      <c r="CQ40" s="143"/>
      <c r="CR40" s="13">
        <f t="shared" si="33"/>
        <v>39.900000000000006</v>
      </c>
      <c r="CS40" s="62"/>
      <c r="CT40" s="143"/>
      <c r="CU40" s="14">
        <f t="shared" si="23"/>
        <v>39.900000000000006</v>
      </c>
      <c r="CV40" s="5">
        <f t="shared" si="36"/>
        <v>220</v>
      </c>
      <c r="CW40" s="4">
        <f t="shared" si="36"/>
        <v>204.60000000000002</v>
      </c>
      <c r="CX40" s="6">
        <f t="shared" si="25"/>
        <v>39.900000000000006</v>
      </c>
      <c r="CY40" s="162">
        <v>200</v>
      </c>
      <c r="CZ40" s="171">
        <f t="shared" si="26"/>
        <v>7980.0000000000009</v>
      </c>
      <c r="DB40" s="2">
        <f t="shared" si="34"/>
        <v>39.900000000000006</v>
      </c>
      <c r="DC40" s="62"/>
      <c r="DD40" s="143"/>
      <c r="DE40" s="149">
        <f t="shared" si="35"/>
        <v>39.900000000000006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>
        <v>1</v>
      </c>
      <c r="H42" s="143"/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>
        <v>1</v>
      </c>
      <c r="Q42" s="143">
        <v>1</v>
      </c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>
        <v>1</v>
      </c>
      <c r="Z42" s="143">
        <v>1</v>
      </c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2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>
        <v>1</v>
      </c>
      <c r="AU42" s="143">
        <v>1</v>
      </c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>
        <v>1</v>
      </c>
      <c r="BP42" s="143">
        <v>1</v>
      </c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/>
      <c r="CL42" s="13">
        <f t="shared" si="32"/>
        <v>1</v>
      </c>
      <c r="CM42" s="62"/>
      <c r="CN42" s="143"/>
      <c r="CO42" s="13">
        <f t="shared" si="22"/>
        <v>1</v>
      </c>
      <c r="CP42" s="62"/>
      <c r="CQ42" s="143"/>
      <c r="CR42" s="13">
        <f t="shared" si="33"/>
        <v>1</v>
      </c>
      <c r="CS42" s="62"/>
      <c r="CT42" s="143"/>
      <c r="CU42" s="14">
        <f t="shared" si="23"/>
        <v>1</v>
      </c>
      <c r="CV42" s="5">
        <f t="shared" si="36"/>
        <v>5</v>
      </c>
      <c r="CW42" s="4">
        <f t="shared" si="36"/>
        <v>4</v>
      </c>
      <c r="CX42" s="6">
        <f t="shared" si="25"/>
        <v>1</v>
      </c>
      <c r="CY42" s="162">
        <v>0</v>
      </c>
      <c r="CZ42" s="171">
        <f t="shared" si="26"/>
        <v>0</v>
      </c>
      <c r="DB42" s="2">
        <f t="shared" si="34"/>
        <v>1</v>
      </c>
      <c r="DC42" s="61"/>
      <c r="DD42" s="143"/>
      <c r="DE42" s="149">
        <f t="shared" si="35"/>
        <v>1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>
        <v>1</v>
      </c>
      <c r="H43" s="143"/>
      <c r="I43" s="13">
        <f t="shared" si="0"/>
        <v>1</v>
      </c>
      <c r="J43" s="62"/>
      <c r="K43" s="143"/>
      <c r="L43" s="13">
        <f t="shared" si="1"/>
        <v>1</v>
      </c>
      <c r="M43" s="62"/>
      <c r="N43" s="143"/>
      <c r="O43" s="13">
        <f t="shared" si="2"/>
        <v>1</v>
      </c>
      <c r="P43" s="62">
        <v>2</v>
      </c>
      <c r="Q43" s="143">
        <f>0.5</f>
        <v>0.5</v>
      </c>
      <c r="R43" s="30">
        <f t="shared" si="3"/>
        <v>2.5</v>
      </c>
      <c r="S43" s="62"/>
      <c r="T43" s="143">
        <f>0.5+1</f>
        <v>1.5</v>
      </c>
      <c r="U43" s="13">
        <f t="shared" si="4"/>
        <v>1</v>
      </c>
      <c r="V43" s="62">
        <v>1</v>
      </c>
      <c r="W43" s="143">
        <f>1</f>
        <v>1</v>
      </c>
      <c r="X43" s="13">
        <f t="shared" si="5"/>
        <v>1</v>
      </c>
      <c r="Y43" s="62">
        <v>1</v>
      </c>
      <c r="Z43" s="143">
        <f>0.5</f>
        <v>0.5</v>
      </c>
      <c r="AA43" s="13">
        <f t="shared" si="27"/>
        <v>1.5</v>
      </c>
      <c r="AB43" s="62"/>
      <c r="AC43" s="143"/>
      <c r="AD43" s="13">
        <f t="shared" si="28"/>
        <v>1.5</v>
      </c>
      <c r="AE43" s="62"/>
      <c r="AF43" s="143"/>
      <c r="AG43" s="13">
        <f t="shared" si="29"/>
        <v>1.5</v>
      </c>
      <c r="AH43" s="62"/>
      <c r="AI43" s="143">
        <f>1</f>
        <v>1</v>
      </c>
      <c r="AJ43" s="13">
        <f t="shared" si="30"/>
        <v>0.5</v>
      </c>
      <c r="AK43" s="62">
        <v>4</v>
      </c>
      <c r="AL43" s="143"/>
      <c r="AM43" s="13">
        <f t="shared" si="6"/>
        <v>4.5</v>
      </c>
      <c r="AN43" s="62"/>
      <c r="AO43" s="143">
        <f>0.5+2</f>
        <v>2.5</v>
      </c>
      <c r="AP43" s="13">
        <f t="shared" si="7"/>
        <v>2</v>
      </c>
      <c r="AQ43" s="62">
        <v>1</v>
      </c>
      <c r="AR43" s="143">
        <f>1+1</f>
        <v>2</v>
      </c>
      <c r="AS43" s="13">
        <f t="shared" si="8"/>
        <v>1</v>
      </c>
      <c r="AT43" s="62">
        <f>-0.5+3</f>
        <v>2.5</v>
      </c>
      <c r="AU43" s="143">
        <f>1</f>
        <v>1</v>
      </c>
      <c r="AV43" s="13">
        <f t="shared" si="9"/>
        <v>2.5</v>
      </c>
      <c r="AW43" s="62"/>
      <c r="AX43" s="143"/>
      <c r="AY43" s="13">
        <f t="shared" si="10"/>
        <v>2.5</v>
      </c>
      <c r="AZ43" s="62"/>
      <c r="BA43" s="143"/>
      <c r="BB43" s="13">
        <f t="shared" si="11"/>
        <v>2.5</v>
      </c>
      <c r="BC43" s="62"/>
      <c r="BD43" s="143">
        <v>2</v>
      </c>
      <c r="BE43" s="13">
        <f t="shared" si="12"/>
        <v>0.5</v>
      </c>
      <c r="BF43" s="62">
        <v>3</v>
      </c>
      <c r="BG43" s="143"/>
      <c r="BH43" s="13">
        <f t="shared" si="13"/>
        <v>3.5</v>
      </c>
      <c r="BI43" s="62"/>
      <c r="BJ43" s="143">
        <f>1.5+1</f>
        <v>2.5</v>
      </c>
      <c r="BK43" s="13">
        <f t="shared" si="14"/>
        <v>1</v>
      </c>
      <c r="BL43" s="62">
        <v>1</v>
      </c>
      <c r="BM43" s="143"/>
      <c r="BN43" s="13">
        <f t="shared" si="15"/>
        <v>2</v>
      </c>
      <c r="BO43" s="62">
        <v>3</v>
      </c>
      <c r="BP43" s="143">
        <f>1+0.5</f>
        <v>1.5</v>
      </c>
      <c r="BQ43" s="13">
        <f t="shared" si="16"/>
        <v>3.5</v>
      </c>
      <c r="BR43" s="62">
        <v>1</v>
      </c>
      <c r="BS43" s="143"/>
      <c r="BT43" s="13">
        <f t="shared" si="17"/>
        <v>4.5</v>
      </c>
      <c r="BU43" s="62"/>
      <c r="BV43" s="143"/>
      <c r="BW43" s="13">
        <f t="shared" si="18"/>
        <v>4.5</v>
      </c>
      <c r="BX43" s="62"/>
      <c r="BY43" s="143"/>
      <c r="BZ43" s="13">
        <f t="shared" si="19"/>
        <v>4.5</v>
      </c>
      <c r="CA43" s="62">
        <v>7</v>
      </c>
      <c r="CB43" s="143">
        <f>0.5+1+1+1+1</f>
        <v>4.5</v>
      </c>
      <c r="CC43" s="13">
        <f t="shared" si="20"/>
        <v>7</v>
      </c>
      <c r="CD43" s="62"/>
      <c r="CE43" s="143">
        <f>1+0.5+1.5</f>
        <v>3</v>
      </c>
      <c r="CF43" s="13">
        <f t="shared" si="21"/>
        <v>4</v>
      </c>
      <c r="CG43" s="62">
        <v>1</v>
      </c>
      <c r="CH43" s="143">
        <f>1+1+0.5</f>
        <v>2.5</v>
      </c>
      <c r="CI43" s="13">
        <f t="shared" si="31"/>
        <v>2.5</v>
      </c>
      <c r="CJ43" s="62"/>
      <c r="CK43" s="143">
        <f>1+1</f>
        <v>2</v>
      </c>
      <c r="CL43" s="13">
        <f t="shared" si="32"/>
        <v>0.5</v>
      </c>
      <c r="CM43" s="62">
        <v>1</v>
      </c>
      <c r="CN43" s="143"/>
      <c r="CO43" s="13">
        <f t="shared" si="22"/>
        <v>1.5</v>
      </c>
      <c r="CP43" s="62"/>
      <c r="CQ43" s="143"/>
      <c r="CR43" s="13">
        <f t="shared" si="33"/>
        <v>1.5</v>
      </c>
      <c r="CS43" s="62"/>
      <c r="CT43" s="143"/>
      <c r="CU43" s="14">
        <f t="shared" si="23"/>
        <v>1.5</v>
      </c>
      <c r="CV43" s="5">
        <f t="shared" si="36"/>
        <v>29.5</v>
      </c>
      <c r="CW43" s="4">
        <f t="shared" si="36"/>
        <v>28</v>
      </c>
      <c r="CX43" s="6">
        <f t="shared" si="25"/>
        <v>1.5</v>
      </c>
      <c r="CY43" s="162">
        <v>350</v>
      </c>
      <c r="CZ43" s="171">
        <f t="shared" si="26"/>
        <v>525</v>
      </c>
      <c r="DB43" s="2">
        <f t="shared" si="34"/>
        <v>1.5</v>
      </c>
      <c r="DC43" s="62"/>
      <c r="DD43" s="143"/>
      <c r="DE43" s="149">
        <f t="shared" si="35"/>
        <v>1.5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/>
      <c r="E45" s="34" t="s">
        <v>21</v>
      </c>
      <c r="F45" s="14">
        <v>0</v>
      </c>
      <c r="G45" s="62"/>
      <c r="H45" s="143"/>
      <c r="I45" s="13">
        <f t="shared" si="0"/>
        <v>0</v>
      </c>
      <c r="J45" s="62"/>
      <c r="K45" s="143"/>
      <c r="L45" s="13">
        <f t="shared" si="1"/>
        <v>0</v>
      </c>
      <c r="M45" s="62"/>
      <c r="N45" s="143"/>
      <c r="O45" s="13">
        <f t="shared" si="2"/>
        <v>0</v>
      </c>
      <c r="P45" s="62"/>
      <c r="Q45" s="143"/>
      <c r="R45" s="30">
        <f t="shared" si="3"/>
        <v>0</v>
      </c>
      <c r="S45" s="62"/>
      <c r="T45" s="143"/>
      <c r="U45" s="13">
        <f t="shared" si="4"/>
        <v>0</v>
      </c>
      <c r="V45" s="62"/>
      <c r="W45" s="143"/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/>
      <c r="AF45" s="143"/>
      <c r="AG45" s="13">
        <f t="shared" si="29"/>
        <v>0</v>
      </c>
      <c r="AH45" s="62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/>
      <c r="AR45" s="143"/>
      <c r="AS45" s="13">
        <f t="shared" si="8"/>
        <v>0</v>
      </c>
      <c r="AT45" s="62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>
        <v>4</v>
      </c>
      <c r="CN45" s="143"/>
      <c r="CO45" s="13">
        <f t="shared" si="22"/>
        <v>4</v>
      </c>
      <c r="CP45" s="62"/>
      <c r="CQ45" s="143"/>
      <c r="CR45" s="13">
        <f t="shared" si="33"/>
        <v>4</v>
      </c>
      <c r="CS45" s="62"/>
      <c r="CT45" s="143"/>
      <c r="CU45" s="14">
        <f t="shared" si="23"/>
        <v>4</v>
      </c>
      <c r="CV45" s="5">
        <f t="shared" si="36"/>
        <v>4</v>
      </c>
      <c r="CW45" s="4">
        <f t="shared" si="36"/>
        <v>0</v>
      </c>
      <c r="CX45" s="6">
        <f t="shared" si="25"/>
        <v>4</v>
      </c>
      <c r="CY45" s="162">
        <v>0</v>
      </c>
      <c r="CZ45" s="171">
        <f t="shared" si="26"/>
        <v>0</v>
      </c>
      <c r="DB45" s="2">
        <f t="shared" si="34"/>
        <v>4</v>
      </c>
      <c r="DC45" s="62"/>
      <c r="DD45" s="143"/>
      <c r="DE45" s="149">
        <f t="shared" si="35"/>
        <v>4</v>
      </c>
    </row>
    <row r="46" spans="1:109" ht="15.75" customHeight="1">
      <c r="A46" s="33"/>
      <c r="B46" s="3" t="s">
        <v>95</v>
      </c>
      <c r="C46" s="104" t="s">
        <v>21</v>
      </c>
      <c r="D46" s="34"/>
      <c r="E46" s="34" t="s">
        <v>21</v>
      </c>
      <c r="F46" s="14">
        <v>1</v>
      </c>
      <c r="G46" s="176"/>
      <c r="H46" s="143"/>
      <c r="I46" s="13">
        <f t="shared" si="0"/>
        <v>1</v>
      </c>
      <c r="J46" s="176"/>
      <c r="K46" s="143"/>
      <c r="L46" s="13">
        <f t="shared" si="1"/>
        <v>1</v>
      </c>
      <c r="M46" s="176"/>
      <c r="N46" s="143"/>
      <c r="O46" s="13">
        <f t="shared" si="2"/>
        <v>1</v>
      </c>
      <c r="P46" s="176"/>
      <c r="Q46" s="143"/>
      <c r="R46" s="30">
        <f t="shared" si="3"/>
        <v>1</v>
      </c>
      <c r="S46" s="176"/>
      <c r="T46" s="143"/>
      <c r="U46" s="13">
        <f t="shared" si="4"/>
        <v>1</v>
      </c>
      <c r="V46" s="176"/>
      <c r="W46" s="143"/>
      <c r="X46" s="13">
        <f t="shared" si="5"/>
        <v>1</v>
      </c>
      <c r="Y46" s="176"/>
      <c r="Z46" s="143"/>
      <c r="AA46" s="13">
        <f t="shared" si="27"/>
        <v>1</v>
      </c>
      <c r="AB46" s="176"/>
      <c r="AC46" s="143"/>
      <c r="AD46" s="13">
        <f t="shared" si="28"/>
        <v>1</v>
      </c>
      <c r="AE46" s="176"/>
      <c r="AF46" s="143"/>
      <c r="AG46" s="13">
        <f t="shared" si="29"/>
        <v>1</v>
      </c>
      <c r="AH46" s="176"/>
      <c r="AI46" s="143"/>
      <c r="AJ46" s="13">
        <f t="shared" si="30"/>
        <v>1</v>
      </c>
      <c r="AK46" s="176"/>
      <c r="AL46" s="143"/>
      <c r="AM46" s="13">
        <f t="shared" si="6"/>
        <v>1</v>
      </c>
      <c r="AN46" s="176"/>
      <c r="AO46" s="143"/>
      <c r="AP46" s="13">
        <f t="shared" si="7"/>
        <v>1</v>
      </c>
      <c r="AQ46" s="176"/>
      <c r="AR46" s="143"/>
      <c r="AS46" s="13">
        <f t="shared" si="8"/>
        <v>1</v>
      </c>
      <c r="AT46" s="176"/>
      <c r="AU46" s="143"/>
      <c r="AV46" s="13">
        <f t="shared" si="9"/>
        <v>1</v>
      </c>
      <c r="AW46" s="176"/>
      <c r="AX46" s="143"/>
      <c r="AY46" s="13">
        <f t="shared" si="10"/>
        <v>1</v>
      </c>
      <c r="AZ46" s="176"/>
      <c r="BA46" s="143"/>
      <c r="BB46" s="13">
        <f t="shared" si="11"/>
        <v>1</v>
      </c>
      <c r="BC46" s="176"/>
      <c r="BD46" s="143"/>
      <c r="BE46" s="13">
        <f t="shared" si="12"/>
        <v>1</v>
      </c>
      <c r="BF46" s="176"/>
      <c r="BG46" s="143">
        <v>1</v>
      </c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176"/>
      <c r="CN46" s="143"/>
      <c r="CO46" s="13">
        <f t="shared" si="22"/>
        <v>0</v>
      </c>
      <c r="CP46" s="176"/>
      <c r="CQ46" s="143"/>
      <c r="CR46" s="13">
        <f t="shared" si="33"/>
        <v>0</v>
      </c>
      <c r="CS46" s="176"/>
      <c r="CT46" s="143"/>
      <c r="CU46" s="14">
        <f t="shared" si="23"/>
        <v>0</v>
      </c>
      <c r="CV46" s="5">
        <f t="shared" si="36"/>
        <v>0</v>
      </c>
      <c r="CW46" s="4">
        <f t="shared" si="36"/>
        <v>1</v>
      </c>
      <c r="CX46" s="6">
        <f t="shared" si="25"/>
        <v>0</v>
      </c>
      <c r="CY46" s="162">
        <v>220</v>
      </c>
      <c r="CZ46" s="171">
        <f t="shared" si="26"/>
        <v>0</v>
      </c>
      <c r="DB46" s="2">
        <f t="shared" si="34"/>
        <v>0</v>
      </c>
      <c r="DC46" s="63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11</v>
      </c>
      <c r="Z47" s="143">
        <f>2</f>
        <v>2</v>
      </c>
      <c r="AA47" s="13">
        <f t="shared" si="27"/>
        <v>9</v>
      </c>
      <c r="AB47" s="176"/>
      <c r="AC47" s="143">
        <f>5</f>
        <v>5</v>
      </c>
      <c r="AD47" s="13">
        <f t="shared" si="28"/>
        <v>4</v>
      </c>
      <c r="AE47" s="176"/>
      <c r="AF47" s="143"/>
      <c r="AG47" s="13">
        <f t="shared" si="29"/>
        <v>4</v>
      </c>
      <c r="AH47" s="176"/>
      <c r="AI47" s="143">
        <f>2+2</f>
        <v>4</v>
      </c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>
        <v>12</v>
      </c>
      <c r="AU47" s="143"/>
      <c r="AV47" s="13">
        <f t="shared" si="9"/>
        <v>12</v>
      </c>
      <c r="AW47" s="176"/>
      <c r="AX47" s="143">
        <f>2</f>
        <v>2</v>
      </c>
      <c r="AY47" s="13">
        <f t="shared" si="10"/>
        <v>10</v>
      </c>
      <c r="AZ47" s="176"/>
      <c r="BA47" s="143"/>
      <c r="BB47" s="13">
        <f t="shared" si="11"/>
        <v>10</v>
      </c>
      <c r="BC47" s="176"/>
      <c r="BD47" s="143">
        <f>4+2+4</f>
        <v>10</v>
      </c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>
        <v>14</v>
      </c>
      <c r="BP47" s="143"/>
      <c r="BQ47" s="13">
        <f t="shared" si="16"/>
        <v>14</v>
      </c>
      <c r="BR47" s="176">
        <v>4</v>
      </c>
      <c r="BS47" s="143">
        <f>5+2</f>
        <v>7</v>
      </c>
      <c r="BT47" s="13">
        <f t="shared" si="17"/>
        <v>11</v>
      </c>
      <c r="BU47" s="176"/>
      <c r="BV47" s="143"/>
      <c r="BW47" s="13">
        <f t="shared" si="18"/>
        <v>11</v>
      </c>
      <c r="BX47" s="176"/>
      <c r="BY47" s="143"/>
      <c r="BZ47" s="13">
        <f t="shared" si="19"/>
        <v>11</v>
      </c>
      <c r="CA47" s="176"/>
      <c r="CB47" s="143">
        <f>4+2+1+4</f>
        <v>11</v>
      </c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41</v>
      </c>
      <c r="CW47" s="4">
        <f t="shared" si="36"/>
        <v>41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1.7300000000000022</v>
      </c>
      <c r="G48" s="62">
        <v>4</v>
      </c>
      <c r="H48" s="143">
        <f>1.5</f>
        <v>1.5</v>
      </c>
      <c r="I48" s="13">
        <f t="shared" si="0"/>
        <v>4.2300000000000022</v>
      </c>
      <c r="J48" s="62"/>
      <c r="K48" s="143"/>
      <c r="L48" s="13">
        <f t="shared" si="1"/>
        <v>4.2300000000000022</v>
      </c>
      <c r="M48" s="62"/>
      <c r="N48" s="143"/>
      <c r="O48" s="13">
        <f t="shared" si="2"/>
        <v>4.2300000000000022</v>
      </c>
      <c r="P48" s="62">
        <v>4</v>
      </c>
      <c r="Q48" s="143">
        <f>0.5+0.7+0.4+0.9</f>
        <v>2.5</v>
      </c>
      <c r="R48" s="30">
        <f t="shared" si="3"/>
        <v>5.7300000000000022</v>
      </c>
      <c r="S48" s="62"/>
      <c r="T48" s="143">
        <f>1.1</f>
        <v>1.1000000000000001</v>
      </c>
      <c r="U48" s="13">
        <f t="shared" si="4"/>
        <v>4.6300000000000026</v>
      </c>
      <c r="V48" s="62"/>
      <c r="W48" s="143">
        <f>0.8</f>
        <v>0.8</v>
      </c>
      <c r="X48" s="13">
        <f t="shared" si="5"/>
        <v>3.8300000000000027</v>
      </c>
      <c r="Y48" s="62">
        <v>4</v>
      </c>
      <c r="Z48" s="143">
        <f>1+0.1+0.1+0.1+0.9</f>
        <v>2.2000000000000002</v>
      </c>
      <c r="AA48" s="13">
        <f t="shared" si="27"/>
        <v>5.6300000000000026</v>
      </c>
      <c r="AB48" s="62"/>
      <c r="AC48" s="143">
        <f>0.9</f>
        <v>0.9</v>
      </c>
      <c r="AD48" s="13">
        <f t="shared" si="28"/>
        <v>4.7300000000000022</v>
      </c>
      <c r="AE48" s="62"/>
      <c r="AF48" s="143"/>
      <c r="AG48" s="13">
        <f t="shared" si="29"/>
        <v>4.7300000000000022</v>
      </c>
      <c r="AH48" s="62"/>
      <c r="AI48" s="143"/>
      <c r="AJ48" s="13">
        <f t="shared" si="30"/>
        <v>4.7300000000000022</v>
      </c>
      <c r="AK48" s="62"/>
      <c r="AL48" s="143">
        <f>0.5</f>
        <v>0.5</v>
      </c>
      <c r="AM48" s="13">
        <f t="shared" si="6"/>
        <v>4.2300000000000022</v>
      </c>
      <c r="AN48" s="62"/>
      <c r="AO48" s="143"/>
      <c r="AP48" s="13">
        <f t="shared" si="7"/>
        <v>4.2300000000000022</v>
      </c>
      <c r="AQ48" s="62"/>
      <c r="AR48" s="143"/>
      <c r="AS48" s="13">
        <f t="shared" si="8"/>
        <v>4.2300000000000022</v>
      </c>
      <c r="AT48" s="62"/>
      <c r="AU48" s="143">
        <f>1</f>
        <v>1</v>
      </c>
      <c r="AV48" s="13">
        <f t="shared" si="9"/>
        <v>3.2300000000000022</v>
      </c>
      <c r="AW48" s="62"/>
      <c r="AX48" s="143">
        <f>0.9</f>
        <v>0.9</v>
      </c>
      <c r="AY48" s="13">
        <f t="shared" si="10"/>
        <v>2.3300000000000023</v>
      </c>
      <c r="AZ48" s="62"/>
      <c r="BA48" s="143"/>
      <c r="BB48" s="13">
        <f t="shared" si="11"/>
        <v>2.3300000000000023</v>
      </c>
      <c r="BC48" s="62">
        <v>4</v>
      </c>
      <c r="BD48" s="143">
        <v>0.4</v>
      </c>
      <c r="BE48" s="13">
        <f t="shared" si="12"/>
        <v>5.9300000000000015</v>
      </c>
      <c r="BF48" s="62"/>
      <c r="BG48" s="143">
        <f>0.8+0.5+0.4+0.4</f>
        <v>2.1</v>
      </c>
      <c r="BH48" s="13">
        <f t="shared" si="13"/>
        <v>3.8300000000000014</v>
      </c>
      <c r="BI48" s="62"/>
      <c r="BJ48" s="143">
        <f>1.4</f>
        <v>1.4</v>
      </c>
      <c r="BK48" s="13">
        <f t="shared" si="14"/>
        <v>2.4300000000000015</v>
      </c>
      <c r="BL48" s="62">
        <v>4</v>
      </c>
      <c r="BM48" s="143">
        <f>0.8+0.5</f>
        <v>1.3</v>
      </c>
      <c r="BN48" s="13">
        <f t="shared" si="15"/>
        <v>5.1300000000000017</v>
      </c>
      <c r="BO48" s="62"/>
      <c r="BP48" s="143">
        <f>0.1</f>
        <v>0.1</v>
      </c>
      <c r="BQ48" s="13">
        <f t="shared" si="16"/>
        <v>5.030000000000002</v>
      </c>
      <c r="BR48" s="62"/>
      <c r="BS48" s="143">
        <f>1.65</f>
        <v>1.65</v>
      </c>
      <c r="BT48" s="13">
        <f t="shared" si="17"/>
        <v>3.3800000000000021</v>
      </c>
      <c r="BU48" s="62"/>
      <c r="BV48" s="143"/>
      <c r="BW48" s="13">
        <f t="shared" si="18"/>
        <v>3.3800000000000021</v>
      </c>
      <c r="BX48" s="62"/>
      <c r="BY48" s="143"/>
      <c r="BZ48" s="13">
        <f t="shared" si="19"/>
        <v>3.3800000000000021</v>
      </c>
      <c r="CA48" s="62">
        <v>4</v>
      </c>
      <c r="CB48" s="143">
        <f>0.8+0.5+0.5+0.8</f>
        <v>2.6</v>
      </c>
      <c r="CC48" s="13">
        <f t="shared" si="20"/>
        <v>4.7800000000000029</v>
      </c>
      <c r="CD48" s="62"/>
      <c r="CE48" s="143"/>
      <c r="CF48" s="13">
        <f t="shared" si="21"/>
        <v>4.7800000000000029</v>
      </c>
      <c r="CG48" s="62">
        <v>4</v>
      </c>
      <c r="CH48" s="143">
        <f>0.8+0.7</f>
        <v>1.5</v>
      </c>
      <c r="CI48" s="13">
        <f t="shared" si="31"/>
        <v>7.2800000000000029</v>
      </c>
      <c r="CJ48" s="62"/>
      <c r="CK48" s="143">
        <f>1</f>
        <v>1</v>
      </c>
      <c r="CL48" s="13">
        <f t="shared" si="32"/>
        <v>6.2800000000000029</v>
      </c>
      <c r="CM48" s="62"/>
      <c r="CN48" s="143">
        <f>0.7</f>
        <v>0.7</v>
      </c>
      <c r="CO48" s="13">
        <f t="shared" si="22"/>
        <v>5.5800000000000027</v>
      </c>
      <c r="CP48" s="62"/>
      <c r="CQ48" s="143"/>
      <c r="CR48" s="13">
        <f t="shared" si="33"/>
        <v>5.5800000000000027</v>
      </c>
      <c r="CS48" s="62"/>
      <c r="CT48" s="143"/>
      <c r="CU48" s="14">
        <f t="shared" si="23"/>
        <v>5.5800000000000027</v>
      </c>
      <c r="CV48" s="5">
        <f t="shared" si="36"/>
        <v>28</v>
      </c>
      <c r="CW48" s="4">
        <f t="shared" si="36"/>
        <v>24.150000000000002</v>
      </c>
      <c r="CX48" s="6">
        <f t="shared" si="25"/>
        <v>5.5800000000000027</v>
      </c>
      <c r="CY48" s="162">
        <v>700</v>
      </c>
      <c r="CZ48" s="171">
        <f t="shared" si="26"/>
        <v>3906.0000000000018</v>
      </c>
      <c r="DB48" s="2">
        <f t="shared" si="34"/>
        <v>5.5800000000000027</v>
      </c>
      <c r="DC48" s="61"/>
      <c r="DD48" s="143"/>
      <c r="DE48" s="149">
        <f t="shared" si="35"/>
        <v>5.5800000000000027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11</v>
      </c>
      <c r="G49" s="62">
        <v>10</v>
      </c>
      <c r="H49" s="143">
        <v>3</v>
      </c>
      <c r="I49" s="13">
        <f t="shared" si="0"/>
        <v>18</v>
      </c>
      <c r="J49" s="62"/>
      <c r="K49" s="143"/>
      <c r="L49" s="13">
        <f t="shared" si="1"/>
        <v>18</v>
      </c>
      <c r="M49" s="62"/>
      <c r="N49" s="143">
        <v>4</v>
      </c>
      <c r="O49" s="13">
        <f t="shared" si="2"/>
        <v>14</v>
      </c>
      <c r="P49" s="62"/>
      <c r="Q49" s="143">
        <v>1</v>
      </c>
      <c r="R49" s="30">
        <f t="shared" si="3"/>
        <v>13</v>
      </c>
      <c r="S49" s="62"/>
      <c r="T49" s="143"/>
      <c r="U49" s="13">
        <f t="shared" si="4"/>
        <v>13</v>
      </c>
      <c r="V49" s="62"/>
      <c r="W49" s="143">
        <v>1</v>
      </c>
      <c r="X49" s="13">
        <f t="shared" si="5"/>
        <v>12</v>
      </c>
      <c r="Y49" s="62"/>
      <c r="Z49" s="143">
        <v>3</v>
      </c>
      <c r="AA49" s="13">
        <f t="shared" si="27"/>
        <v>9</v>
      </c>
      <c r="AB49" s="62">
        <v>10</v>
      </c>
      <c r="AC49" s="143">
        <v>4</v>
      </c>
      <c r="AD49" s="13">
        <f t="shared" si="28"/>
        <v>15</v>
      </c>
      <c r="AE49" s="62"/>
      <c r="AF49" s="143"/>
      <c r="AG49" s="13">
        <f t="shared" si="29"/>
        <v>15</v>
      </c>
      <c r="AH49" s="62"/>
      <c r="AI49" s="143">
        <v>4</v>
      </c>
      <c r="AJ49" s="13">
        <f t="shared" si="30"/>
        <v>11</v>
      </c>
      <c r="AK49" s="62"/>
      <c r="AL49" s="143">
        <v>2</v>
      </c>
      <c r="AM49" s="13">
        <f t="shared" si="6"/>
        <v>9</v>
      </c>
      <c r="AN49" s="62"/>
      <c r="AO49" s="143"/>
      <c r="AP49" s="13">
        <f t="shared" si="7"/>
        <v>9</v>
      </c>
      <c r="AQ49" s="62">
        <v>20</v>
      </c>
      <c r="AR49" s="143">
        <v>3</v>
      </c>
      <c r="AS49" s="13">
        <f t="shared" si="8"/>
        <v>26</v>
      </c>
      <c r="AT49" s="62"/>
      <c r="AU49" s="143"/>
      <c r="AV49" s="13">
        <f t="shared" si="9"/>
        <v>26</v>
      </c>
      <c r="AW49" s="62"/>
      <c r="AX49" s="143">
        <v>5</v>
      </c>
      <c r="AY49" s="13">
        <f t="shared" si="10"/>
        <v>21</v>
      </c>
      <c r="AZ49" s="62"/>
      <c r="BA49" s="143"/>
      <c r="BB49" s="13">
        <f t="shared" si="11"/>
        <v>21</v>
      </c>
      <c r="BC49" s="62"/>
      <c r="BD49" s="143">
        <v>2</v>
      </c>
      <c r="BE49" s="13">
        <f t="shared" si="12"/>
        <v>19</v>
      </c>
      <c r="BF49" s="62"/>
      <c r="BG49" s="143">
        <v>2</v>
      </c>
      <c r="BH49" s="13">
        <f t="shared" si="13"/>
        <v>17</v>
      </c>
      <c r="BI49" s="62"/>
      <c r="BJ49" s="143"/>
      <c r="BK49" s="13">
        <f t="shared" si="14"/>
        <v>17</v>
      </c>
      <c r="BL49" s="62"/>
      <c r="BM49" s="143">
        <v>2</v>
      </c>
      <c r="BN49" s="13">
        <f t="shared" si="15"/>
        <v>15</v>
      </c>
      <c r="BO49" s="62">
        <v>10</v>
      </c>
      <c r="BP49" s="143">
        <v>2</v>
      </c>
      <c r="BQ49" s="13">
        <f t="shared" si="16"/>
        <v>23</v>
      </c>
      <c r="BR49" s="62"/>
      <c r="BS49" s="143">
        <v>4</v>
      </c>
      <c r="BT49" s="13">
        <f t="shared" si="17"/>
        <v>19</v>
      </c>
      <c r="BU49" s="62"/>
      <c r="BV49" s="143"/>
      <c r="BW49" s="13">
        <f t="shared" si="18"/>
        <v>19</v>
      </c>
      <c r="BX49" s="62"/>
      <c r="BY49" s="143">
        <v>3</v>
      </c>
      <c r="BZ49" s="13">
        <f t="shared" si="19"/>
        <v>16</v>
      </c>
      <c r="CA49" s="62"/>
      <c r="CB49" s="143">
        <v>2</v>
      </c>
      <c r="CC49" s="13">
        <f t="shared" si="20"/>
        <v>14</v>
      </c>
      <c r="CD49" s="62"/>
      <c r="CE49" s="143"/>
      <c r="CF49" s="13">
        <f t="shared" si="21"/>
        <v>14</v>
      </c>
      <c r="CG49" s="62"/>
      <c r="CH49" s="143">
        <v>1</v>
      </c>
      <c r="CI49" s="13">
        <f t="shared" si="31"/>
        <v>13</v>
      </c>
      <c r="CJ49" s="62"/>
      <c r="CK49" s="143">
        <v>1</v>
      </c>
      <c r="CL49" s="13">
        <f t="shared" si="32"/>
        <v>12</v>
      </c>
      <c r="CM49" s="62"/>
      <c r="CN49" s="143">
        <v>6</v>
      </c>
      <c r="CO49" s="13">
        <f t="shared" si="22"/>
        <v>6</v>
      </c>
      <c r="CP49" s="62"/>
      <c r="CQ49" s="143"/>
      <c r="CR49" s="13">
        <f t="shared" si="33"/>
        <v>6</v>
      </c>
      <c r="CS49" s="62"/>
      <c r="CT49" s="143"/>
      <c r="CU49" s="14">
        <f t="shared" si="23"/>
        <v>6</v>
      </c>
      <c r="CV49" s="5">
        <f t="shared" si="36"/>
        <v>50</v>
      </c>
      <c r="CW49" s="4">
        <f t="shared" si="36"/>
        <v>55</v>
      </c>
      <c r="CX49" s="6">
        <f t="shared" si="25"/>
        <v>6</v>
      </c>
      <c r="CY49" s="162">
        <v>872</v>
      </c>
      <c r="CZ49" s="171">
        <f t="shared" si="26"/>
        <v>5232</v>
      </c>
      <c r="DB49" s="2">
        <f t="shared" si="34"/>
        <v>6</v>
      </c>
      <c r="DC49" s="61"/>
      <c r="DD49" s="143"/>
      <c r="DE49" s="149">
        <f t="shared" si="35"/>
        <v>6</v>
      </c>
    </row>
    <row r="50" spans="1:109" ht="15.75" customHeight="1">
      <c r="A50" s="33"/>
      <c r="B50" s="3" t="s">
        <v>264</v>
      </c>
      <c r="C50" s="104" t="s">
        <v>27</v>
      </c>
      <c r="D50" s="34"/>
      <c r="E50" s="34" t="s">
        <v>27</v>
      </c>
      <c r="F50" s="14">
        <v>2</v>
      </c>
      <c r="G50" s="62">
        <f>-7+36</f>
        <v>29</v>
      </c>
      <c r="H50" s="143">
        <v>2</v>
      </c>
      <c r="I50" s="13">
        <f t="shared" si="0"/>
        <v>29</v>
      </c>
      <c r="J50" s="62"/>
      <c r="K50" s="143"/>
      <c r="L50" s="13">
        <f t="shared" si="1"/>
        <v>29</v>
      </c>
      <c r="M50" s="62"/>
      <c r="N50" s="143">
        <v>13</v>
      </c>
      <c r="O50" s="13">
        <f t="shared" si="2"/>
        <v>16</v>
      </c>
      <c r="P50" s="62"/>
      <c r="Q50" s="143"/>
      <c r="R50" s="30">
        <f t="shared" si="3"/>
        <v>16</v>
      </c>
      <c r="S50" s="62"/>
      <c r="T50" s="143"/>
      <c r="U50" s="13">
        <f t="shared" si="4"/>
        <v>16</v>
      </c>
      <c r="V50" s="62"/>
      <c r="W50" s="143">
        <v>13</v>
      </c>
      <c r="X50" s="13">
        <f t="shared" si="5"/>
        <v>3</v>
      </c>
      <c r="Y50" s="62">
        <v>12</v>
      </c>
      <c r="Z50" s="143">
        <v>2</v>
      </c>
      <c r="AA50" s="13">
        <f t="shared" si="27"/>
        <v>13</v>
      </c>
      <c r="AB50" s="62">
        <v>12</v>
      </c>
      <c r="AC50" s="143">
        <v>13</v>
      </c>
      <c r="AD50" s="13">
        <f t="shared" si="28"/>
        <v>12</v>
      </c>
      <c r="AE50" s="62"/>
      <c r="AF50" s="143"/>
      <c r="AG50" s="13">
        <f t="shared" si="29"/>
        <v>12</v>
      </c>
      <c r="AH50" s="62"/>
      <c r="AI50" s="143">
        <v>8</v>
      </c>
      <c r="AJ50" s="13">
        <f t="shared" si="30"/>
        <v>4</v>
      </c>
      <c r="AK50" s="62"/>
      <c r="AL50" s="143">
        <v>2</v>
      </c>
      <c r="AM50" s="13">
        <f t="shared" si="6"/>
        <v>2</v>
      </c>
      <c r="AN50" s="62"/>
      <c r="AO50" s="143"/>
      <c r="AP50" s="13">
        <f t="shared" si="7"/>
        <v>2</v>
      </c>
      <c r="AQ50" s="62">
        <f>-7+2+5</f>
        <v>0</v>
      </c>
      <c r="AR50" s="143">
        <v>2</v>
      </c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53</v>
      </c>
      <c r="CW50" s="4">
        <f t="shared" si="36"/>
        <v>55</v>
      </c>
      <c r="CX50" s="6">
        <f t="shared" si="25"/>
        <v>0</v>
      </c>
      <c r="CY50" s="162">
        <v>180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3" t="s">
        <v>101</v>
      </c>
      <c r="C51" s="104" t="s">
        <v>27</v>
      </c>
      <c r="D51" s="34"/>
      <c r="E51" s="34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15</v>
      </c>
      <c r="G53" s="62">
        <f>-3+33</f>
        <v>30</v>
      </c>
      <c r="H53" s="143">
        <v>15</v>
      </c>
      <c r="I53" s="13">
        <f t="shared" si="0"/>
        <v>30</v>
      </c>
      <c r="J53" s="62"/>
      <c r="K53" s="143"/>
      <c r="L53" s="13">
        <f t="shared" si="1"/>
        <v>30</v>
      </c>
      <c r="M53" s="62"/>
      <c r="N53" s="143">
        <v>15</v>
      </c>
      <c r="O53" s="13">
        <f t="shared" si="2"/>
        <v>15</v>
      </c>
      <c r="P53" s="62">
        <v>22</v>
      </c>
      <c r="Q53" s="143">
        <v>12</v>
      </c>
      <c r="R53" s="13">
        <f t="shared" si="3"/>
        <v>25</v>
      </c>
      <c r="S53" s="62"/>
      <c r="T53" s="143"/>
      <c r="U53" s="13">
        <f t="shared" si="4"/>
        <v>25</v>
      </c>
      <c r="V53" s="62">
        <v>12</v>
      </c>
      <c r="W53" s="143">
        <v>12</v>
      </c>
      <c r="X53" s="13">
        <f t="shared" si="5"/>
        <v>25</v>
      </c>
      <c r="Y53" s="62">
        <v>9</v>
      </c>
      <c r="Z53" s="143">
        <v>9</v>
      </c>
      <c r="AA53" s="13">
        <f t="shared" si="27"/>
        <v>25</v>
      </c>
      <c r="AB53" s="62">
        <v>12</v>
      </c>
      <c r="AC53" s="143">
        <v>17</v>
      </c>
      <c r="AD53" s="13">
        <f t="shared" si="28"/>
        <v>20</v>
      </c>
      <c r="AE53" s="62"/>
      <c r="AF53" s="143"/>
      <c r="AG53" s="13">
        <f t="shared" si="29"/>
        <v>20</v>
      </c>
      <c r="AH53" s="62">
        <v>16</v>
      </c>
      <c r="AI53" s="143">
        <v>11</v>
      </c>
      <c r="AJ53" s="13">
        <f t="shared" si="30"/>
        <v>25</v>
      </c>
      <c r="AK53" s="62">
        <v>6</v>
      </c>
      <c r="AL53" s="143">
        <v>7</v>
      </c>
      <c r="AM53" s="13">
        <f t="shared" si="6"/>
        <v>24</v>
      </c>
      <c r="AN53" s="62"/>
      <c r="AO53" s="143"/>
      <c r="AP53" s="13">
        <f t="shared" si="7"/>
        <v>24</v>
      </c>
      <c r="AQ53" s="62">
        <v>11</v>
      </c>
      <c r="AR53" s="143">
        <f>2+2+11</f>
        <v>15</v>
      </c>
      <c r="AS53" s="13">
        <f t="shared" si="8"/>
        <v>20</v>
      </c>
      <c r="AT53" s="62">
        <v>16</v>
      </c>
      <c r="AU53" s="143">
        <v>11</v>
      </c>
      <c r="AV53" s="13">
        <f t="shared" si="9"/>
        <v>25</v>
      </c>
      <c r="AW53" s="62">
        <v>22</v>
      </c>
      <c r="AX53" s="143">
        <v>22</v>
      </c>
      <c r="AY53" s="13">
        <f t="shared" si="10"/>
        <v>25</v>
      </c>
      <c r="AZ53" s="62"/>
      <c r="BA53" s="143"/>
      <c r="BB53" s="13">
        <f t="shared" si="11"/>
        <v>25</v>
      </c>
      <c r="BC53" s="62">
        <v>12</v>
      </c>
      <c r="BD53" s="143">
        <v>12</v>
      </c>
      <c r="BE53" s="13">
        <f t="shared" si="12"/>
        <v>25</v>
      </c>
      <c r="BF53" s="62">
        <v>7</v>
      </c>
      <c r="BG53" s="143">
        <v>12</v>
      </c>
      <c r="BH53" s="13">
        <f t="shared" si="13"/>
        <v>20</v>
      </c>
      <c r="BI53" s="62"/>
      <c r="BJ53" s="143"/>
      <c r="BK53" s="13">
        <f t="shared" si="14"/>
        <v>20</v>
      </c>
      <c r="BL53" s="62">
        <v>19</v>
      </c>
      <c r="BM53" s="143">
        <v>14</v>
      </c>
      <c r="BN53" s="13">
        <f t="shared" si="15"/>
        <v>25</v>
      </c>
      <c r="BO53" s="62">
        <v>11</v>
      </c>
      <c r="BP53" s="143">
        <v>6</v>
      </c>
      <c r="BQ53" s="13">
        <f t="shared" si="16"/>
        <v>30</v>
      </c>
      <c r="BR53" s="62">
        <v>25</v>
      </c>
      <c r="BS53" s="143">
        <v>15</v>
      </c>
      <c r="BT53" s="13">
        <f t="shared" si="17"/>
        <v>40</v>
      </c>
      <c r="BU53" s="62"/>
      <c r="BV53" s="143"/>
      <c r="BW53" s="13">
        <f t="shared" si="18"/>
        <v>40</v>
      </c>
      <c r="BX53" s="62"/>
      <c r="BY53" s="143">
        <v>10</v>
      </c>
      <c r="BZ53" s="13">
        <f t="shared" si="19"/>
        <v>30</v>
      </c>
      <c r="CA53" s="62">
        <v>7</v>
      </c>
      <c r="CB53" s="143">
        <v>17</v>
      </c>
      <c r="CC53" s="13">
        <f t="shared" si="20"/>
        <v>20</v>
      </c>
      <c r="CD53" s="62"/>
      <c r="CE53" s="143"/>
      <c r="CF53" s="13">
        <f t="shared" si="21"/>
        <v>20</v>
      </c>
      <c r="CG53" s="62">
        <v>15</v>
      </c>
      <c r="CH53" s="143">
        <v>15</v>
      </c>
      <c r="CI53" s="13">
        <f>CF53+CG53-CH53</f>
        <v>20</v>
      </c>
      <c r="CJ53" s="62">
        <v>6</v>
      </c>
      <c r="CK53" s="143">
        <v>1</v>
      </c>
      <c r="CL53" s="13">
        <f>CI53+CJ53-CK53</f>
        <v>25</v>
      </c>
      <c r="CM53" s="62">
        <v>7</v>
      </c>
      <c r="CN53" s="143">
        <v>22</v>
      </c>
      <c r="CO53" s="13">
        <f t="shared" si="22"/>
        <v>10</v>
      </c>
      <c r="CP53" s="62"/>
      <c r="CQ53" s="143"/>
      <c r="CR53" s="13">
        <f t="shared" si="33"/>
        <v>10</v>
      </c>
      <c r="CS53" s="62"/>
      <c r="CT53" s="143"/>
      <c r="CU53" s="14">
        <f t="shared" si="23"/>
        <v>10</v>
      </c>
      <c r="CV53" s="5">
        <f t="shared" si="36"/>
        <v>265</v>
      </c>
      <c r="CW53" s="4">
        <f t="shared" si="36"/>
        <v>270</v>
      </c>
      <c r="CX53" s="6">
        <f t="shared" si="25"/>
        <v>10</v>
      </c>
      <c r="CY53" s="162">
        <v>120</v>
      </c>
      <c r="CZ53" s="171">
        <f t="shared" si="26"/>
        <v>1200</v>
      </c>
      <c r="DB53" s="2">
        <f t="shared" si="34"/>
        <v>10</v>
      </c>
      <c r="DC53" s="61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4</v>
      </c>
      <c r="G55" s="62">
        <v>10</v>
      </c>
      <c r="H55" s="143"/>
      <c r="I55" s="13">
        <f t="shared" si="0"/>
        <v>14</v>
      </c>
      <c r="J55" s="62"/>
      <c r="K55" s="143"/>
      <c r="L55" s="13">
        <f t="shared" si="1"/>
        <v>14</v>
      </c>
      <c r="M55" s="62"/>
      <c r="N55" s="143"/>
      <c r="O55" s="13">
        <f t="shared" si="2"/>
        <v>14</v>
      </c>
      <c r="P55" s="62"/>
      <c r="Q55" s="143">
        <v>6</v>
      </c>
      <c r="R55" s="13">
        <f t="shared" si="3"/>
        <v>8</v>
      </c>
      <c r="S55" s="62"/>
      <c r="T55" s="143"/>
      <c r="U55" s="13">
        <f t="shared" si="4"/>
        <v>8</v>
      </c>
      <c r="V55" s="62"/>
      <c r="W55" s="143"/>
      <c r="X55" s="13">
        <f t="shared" si="5"/>
        <v>8</v>
      </c>
      <c r="Y55" s="62"/>
      <c r="Z55" s="143">
        <v>7</v>
      </c>
      <c r="AA55" s="13">
        <f t="shared" si="27"/>
        <v>1</v>
      </c>
      <c r="AB55" s="62">
        <v>10</v>
      </c>
      <c r="AC55" s="143"/>
      <c r="AD55" s="13">
        <f t="shared" si="28"/>
        <v>11</v>
      </c>
      <c r="AE55" s="62"/>
      <c r="AF55" s="143"/>
      <c r="AG55" s="13">
        <f t="shared" si="29"/>
        <v>11</v>
      </c>
      <c r="AH55" s="62"/>
      <c r="AI55" s="143"/>
      <c r="AJ55" s="13">
        <f t="shared" si="30"/>
        <v>11</v>
      </c>
      <c r="AK55" s="62"/>
      <c r="AL55" s="143"/>
      <c r="AM55" s="13">
        <f t="shared" si="6"/>
        <v>11</v>
      </c>
      <c r="AN55" s="62"/>
      <c r="AO55" s="143"/>
      <c r="AP55" s="13">
        <f t="shared" si="7"/>
        <v>11</v>
      </c>
      <c r="AQ55" s="62"/>
      <c r="AR55" s="143"/>
      <c r="AS55" s="13">
        <f t="shared" si="8"/>
        <v>11</v>
      </c>
      <c r="AT55" s="62">
        <v>10</v>
      </c>
      <c r="AU55" s="143">
        <v>7</v>
      </c>
      <c r="AV55" s="13">
        <f t="shared" si="9"/>
        <v>14</v>
      </c>
      <c r="AW55" s="62"/>
      <c r="AX55" s="143"/>
      <c r="AY55" s="13">
        <f t="shared" si="10"/>
        <v>14</v>
      </c>
      <c r="AZ55" s="62"/>
      <c r="BA55" s="143"/>
      <c r="BB55" s="13">
        <f t="shared" si="11"/>
        <v>14</v>
      </c>
      <c r="BC55" s="62"/>
      <c r="BD55" s="143"/>
      <c r="BE55" s="13">
        <f t="shared" si="12"/>
        <v>14</v>
      </c>
      <c r="BF55" s="62"/>
      <c r="BG55" s="143"/>
      <c r="BH55" s="13">
        <f t="shared" si="13"/>
        <v>14</v>
      </c>
      <c r="BI55" s="62"/>
      <c r="BJ55" s="143"/>
      <c r="BK55" s="13">
        <f t="shared" si="14"/>
        <v>14</v>
      </c>
      <c r="BL55" s="62"/>
      <c r="BM55" s="143"/>
      <c r="BN55" s="13">
        <f t="shared" si="15"/>
        <v>14</v>
      </c>
      <c r="BO55" s="62"/>
      <c r="BP55" s="143">
        <v>8</v>
      </c>
      <c r="BQ55" s="13">
        <f t="shared" si="16"/>
        <v>6</v>
      </c>
      <c r="BR55" s="62"/>
      <c r="BS55" s="143"/>
      <c r="BT55" s="13">
        <f t="shared" si="17"/>
        <v>6</v>
      </c>
      <c r="BU55" s="62"/>
      <c r="BV55" s="143"/>
      <c r="BW55" s="13">
        <f t="shared" si="18"/>
        <v>6</v>
      </c>
      <c r="BX55" s="62"/>
      <c r="BY55" s="143"/>
      <c r="BZ55" s="13">
        <f t="shared" si="19"/>
        <v>6</v>
      </c>
      <c r="CA55" s="62"/>
      <c r="CB55" s="143"/>
      <c r="CC55" s="13">
        <f t="shared" si="20"/>
        <v>6</v>
      </c>
      <c r="CD55" s="62"/>
      <c r="CE55" s="143"/>
      <c r="CF55" s="13">
        <f t="shared" si="21"/>
        <v>6</v>
      </c>
      <c r="CG55" s="62"/>
      <c r="CH55" s="143"/>
      <c r="CI55" s="13">
        <f t="shared" si="31"/>
        <v>6</v>
      </c>
      <c r="CJ55" s="62"/>
      <c r="CK55" s="143"/>
      <c r="CL55" s="13">
        <f t="shared" si="32"/>
        <v>6</v>
      </c>
      <c r="CM55" s="62"/>
      <c r="CN55" s="143"/>
      <c r="CO55" s="13">
        <f t="shared" si="22"/>
        <v>6</v>
      </c>
      <c r="CP55" s="62"/>
      <c r="CQ55" s="143"/>
      <c r="CR55" s="13">
        <f t="shared" si="33"/>
        <v>6</v>
      </c>
      <c r="CS55" s="62"/>
      <c r="CT55" s="143"/>
      <c r="CU55" s="14">
        <f t="shared" si="23"/>
        <v>6</v>
      </c>
      <c r="CV55" s="5">
        <f t="shared" si="36"/>
        <v>30</v>
      </c>
      <c r="CW55" s="4">
        <f t="shared" si="36"/>
        <v>28</v>
      </c>
      <c r="CX55" s="6">
        <f t="shared" si="25"/>
        <v>6</v>
      </c>
      <c r="CY55" s="162">
        <v>105</v>
      </c>
      <c r="CZ55" s="171">
        <f t="shared" si="26"/>
        <v>630</v>
      </c>
      <c r="DB55" s="2">
        <f t="shared" si="34"/>
        <v>6</v>
      </c>
      <c r="DC55" s="61"/>
      <c r="DD55" s="143"/>
      <c r="DE55" s="149">
        <f t="shared" si="35"/>
        <v>6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>
        <v>1</v>
      </c>
      <c r="H56" s="143"/>
      <c r="I56" s="13">
        <f t="shared" si="0"/>
        <v>1</v>
      </c>
      <c r="J56" s="62"/>
      <c r="K56" s="143"/>
      <c r="L56" s="13">
        <f t="shared" si="1"/>
        <v>1</v>
      </c>
      <c r="M56" s="62"/>
      <c r="N56" s="143">
        <v>1</v>
      </c>
      <c r="O56" s="13">
        <f t="shared" si="2"/>
        <v>0</v>
      </c>
      <c r="P56" s="62">
        <v>1</v>
      </c>
      <c r="Q56" s="143">
        <v>1</v>
      </c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>
        <v>1</v>
      </c>
      <c r="BY56" s="143">
        <v>1</v>
      </c>
      <c r="BZ56" s="13">
        <f t="shared" si="19"/>
        <v>0</v>
      </c>
      <c r="CA56" s="62"/>
      <c r="CB56" s="143"/>
      <c r="CC56" s="13">
        <f t="shared" si="20"/>
        <v>0</v>
      </c>
      <c r="CD56" s="62">
        <v>1</v>
      </c>
      <c r="CE56" s="143"/>
      <c r="CF56" s="13">
        <f t="shared" si="21"/>
        <v>1</v>
      </c>
      <c r="CG56" s="62"/>
      <c r="CH56" s="143">
        <v>1</v>
      </c>
      <c r="CI56" s="13">
        <f t="shared" si="31"/>
        <v>0</v>
      </c>
      <c r="CJ56" s="62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4</v>
      </c>
      <c r="CW56" s="4">
        <f t="shared" si="36"/>
        <v>4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13.799999999999999</v>
      </c>
      <c r="G58" s="62"/>
      <c r="H58" s="143"/>
      <c r="I58" s="13">
        <f t="shared" si="0"/>
        <v>13.799999999999999</v>
      </c>
      <c r="J58" s="62"/>
      <c r="K58" s="143"/>
      <c r="L58" s="13">
        <f t="shared" si="1"/>
        <v>13.799999999999999</v>
      </c>
      <c r="M58" s="62"/>
      <c r="N58" s="143"/>
      <c r="O58" s="13">
        <f t="shared" si="2"/>
        <v>13.799999999999999</v>
      </c>
      <c r="P58" s="62"/>
      <c r="Q58" s="143">
        <f>1</f>
        <v>1</v>
      </c>
      <c r="R58" s="13">
        <f t="shared" si="3"/>
        <v>12.799999999999999</v>
      </c>
      <c r="S58" s="62"/>
      <c r="T58" s="143">
        <f>1.5</f>
        <v>1.5</v>
      </c>
      <c r="U58" s="13">
        <f t="shared" si="4"/>
        <v>11.299999999999999</v>
      </c>
      <c r="V58" s="62"/>
      <c r="W58" s="143">
        <f>0.9</f>
        <v>0.9</v>
      </c>
      <c r="X58" s="13">
        <f t="shared" si="5"/>
        <v>10.399999999999999</v>
      </c>
      <c r="Y58" s="62"/>
      <c r="Z58" s="143">
        <f>0.2</f>
        <v>0.2</v>
      </c>
      <c r="AA58" s="13">
        <f t="shared" si="27"/>
        <v>10.199999999999999</v>
      </c>
      <c r="AB58" s="62"/>
      <c r="AC58" s="143"/>
      <c r="AD58" s="13">
        <f t="shared" si="28"/>
        <v>10.199999999999999</v>
      </c>
      <c r="AE58" s="62"/>
      <c r="AF58" s="143"/>
      <c r="AG58" s="13">
        <f t="shared" si="29"/>
        <v>10.199999999999999</v>
      </c>
      <c r="AH58" s="62"/>
      <c r="AI58" s="143"/>
      <c r="AJ58" s="13">
        <f t="shared" si="30"/>
        <v>10.199999999999999</v>
      </c>
      <c r="AK58" s="62">
        <v>10</v>
      </c>
      <c r="AL58" s="143">
        <f>4.5+1.7+1</f>
        <v>7.2</v>
      </c>
      <c r="AM58" s="13">
        <f t="shared" si="6"/>
        <v>13</v>
      </c>
      <c r="AN58" s="62"/>
      <c r="AO58" s="143">
        <f>3</f>
        <v>3</v>
      </c>
      <c r="AP58" s="13">
        <f t="shared" si="7"/>
        <v>10</v>
      </c>
      <c r="AQ58" s="62"/>
      <c r="AR58" s="143"/>
      <c r="AS58" s="13">
        <f t="shared" si="8"/>
        <v>10</v>
      </c>
      <c r="AT58" s="62"/>
      <c r="AU58" s="143"/>
      <c r="AV58" s="13">
        <f t="shared" si="9"/>
        <v>10</v>
      </c>
      <c r="AW58" s="62"/>
      <c r="AX58" s="143">
        <f>1.2</f>
        <v>1.2</v>
      </c>
      <c r="AY58" s="13">
        <f t="shared" si="10"/>
        <v>8.8000000000000007</v>
      </c>
      <c r="AZ58" s="62"/>
      <c r="BA58" s="143"/>
      <c r="BB58" s="13">
        <f t="shared" si="11"/>
        <v>8.8000000000000007</v>
      </c>
      <c r="BC58" s="62">
        <v>10</v>
      </c>
      <c r="BD58" s="143">
        <f>1.6+1</f>
        <v>2.6</v>
      </c>
      <c r="BE58" s="13">
        <f t="shared" si="12"/>
        <v>16.2</v>
      </c>
      <c r="BF58" s="62"/>
      <c r="BG58" s="143">
        <f>3.2+3.2</f>
        <v>6.4</v>
      </c>
      <c r="BH58" s="13">
        <f t="shared" si="13"/>
        <v>9.7999999999999989</v>
      </c>
      <c r="BI58" s="62"/>
      <c r="BJ58" s="143">
        <f>2.4+3.3</f>
        <v>5.6999999999999993</v>
      </c>
      <c r="BK58" s="13">
        <f t="shared" si="14"/>
        <v>4.0999999999999996</v>
      </c>
      <c r="BL58" s="62">
        <v>10</v>
      </c>
      <c r="BM58" s="143">
        <f>1.3+1.3</f>
        <v>2.6</v>
      </c>
      <c r="BN58" s="13">
        <f t="shared" si="15"/>
        <v>11.5</v>
      </c>
      <c r="BO58" s="62"/>
      <c r="BP58" s="143">
        <f>0.3</f>
        <v>0.3</v>
      </c>
      <c r="BQ58" s="13">
        <f t="shared" si="16"/>
        <v>11.2</v>
      </c>
      <c r="BR58" s="62"/>
      <c r="BS58" s="143"/>
      <c r="BT58" s="13">
        <f t="shared" si="17"/>
        <v>11.2</v>
      </c>
      <c r="BU58" s="62"/>
      <c r="BV58" s="143"/>
      <c r="BW58" s="13">
        <f t="shared" si="18"/>
        <v>11.2</v>
      </c>
      <c r="BX58" s="62"/>
      <c r="BY58" s="143"/>
      <c r="BZ58" s="13">
        <f t="shared" si="19"/>
        <v>11.2</v>
      </c>
      <c r="CA58" s="62">
        <v>10</v>
      </c>
      <c r="CB58" s="143">
        <f>1.6+3+2.4+1.6</f>
        <v>8.6</v>
      </c>
      <c r="CC58" s="13">
        <f t="shared" si="20"/>
        <v>12.6</v>
      </c>
      <c r="CD58" s="62"/>
      <c r="CE58" s="143">
        <f>4.9</f>
        <v>4.9000000000000004</v>
      </c>
      <c r="CF58" s="13">
        <f t="shared" si="21"/>
        <v>7.6999999999999993</v>
      </c>
      <c r="CG58" s="62"/>
      <c r="CH58" s="143"/>
      <c r="CI58" s="13">
        <f t="shared" si="31"/>
        <v>7.6999999999999993</v>
      </c>
      <c r="CJ58" s="62"/>
      <c r="CK58" s="143">
        <f>0.2</f>
        <v>0.2</v>
      </c>
      <c r="CL58" s="13">
        <f t="shared" si="32"/>
        <v>7.4999999999999991</v>
      </c>
      <c r="CM58" s="62"/>
      <c r="CN58" s="143"/>
      <c r="CO58" s="13">
        <f t="shared" si="22"/>
        <v>7.4999999999999991</v>
      </c>
      <c r="CP58" s="62"/>
      <c r="CQ58" s="143"/>
      <c r="CR58" s="13">
        <f t="shared" si="33"/>
        <v>7.4999999999999991</v>
      </c>
      <c r="CS58" s="62"/>
      <c r="CT58" s="143"/>
      <c r="CU58" s="14">
        <f t="shared" si="23"/>
        <v>7.4999999999999991</v>
      </c>
      <c r="CV58" s="5">
        <f t="shared" si="36"/>
        <v>40</v>
      </c>
      <c r="CW58" s="4">
        <f t="shared" si="36"/>
        <v>46.3</v>
      </c>
      <c r="CX58" s="6">
        <f t="shared" si="25"/>
        <v>7.4999999999999991</v>
      </c>
      <c r="CY58" s="162">
        <v>460</v>
      </c>
      <c r="CZ58" s="171">
        <f t="shared" si="26"/>
        <v>3449.9999999999995</v>
      </c>
      <c r="DB58" s="2">
        <f t="shared" si="34"/>
        <v>7.4999999999999991</v>
      </c>
      <c r="DC58" s="61"/>
      <c r="DD58" s="143"/>
      <c r="DE58" s="149">
        <f t="shared" si="35"/>
        <v>7.4999999999999991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36</v>
      </c>
      <c r="G59" s="62">
        <f>-22+60</f>
        <v>38</v>
      </c>
      <c r="H59" s="143">
        <f>4+12+20</f>
        <v>36</v>
      </c>
      <c r="I59" s="13">
        <f t="shared" si="0"/>
        <v>38</v>
      </c>
      <c r="J59" s="62"/>
      <c r="K59" s="143"/>
      <c r="L59" s="13">
        <f t="shared" si="1"/>
        <v>38</v>
      </c>
      <c r="M59" s="62">
        <v>50</v>
      </c>
      <c r="N59" s="143">
        <f>9+3+22</f>
        <v>34</v>
      </c>
      <c r="O59" s="13">
        <f t="shared" si="2"/>
        <v>54</v>
      </c>
      <c r="P59" s="62">
        <v>30</v>
      </c>
      <c r="Q59" s="143">
        <f>3+10+22</f>
        <v>35</v>
      </c>
      <c r="R59" s="30">
        <f t="shared" si="3"/>
        <v>49</v>
      </c>
      <c r="S59" s="62"/>
      <c r="T59" s="143"/>
      <c r="U59" s="13">
        <f t="shared" si="4"/>
        <v>49</v>
      </c>
      <c r="V59" s="62">
        <v>30</v>
      </c>
      <c r="W59" s="143">
        <f>2+5+16</f>
        <v>23</v>
      </c>
      <c r="X59" s="13">
        <f t="shared" si="5"/>
        <v>56</v>
      </c>
      <c r="Y59" s="62">
        <v>40</v>
      </c>
      <c r="Z59" s="143">
        <f>2+7+18</f>
        <v>27</v>
      </c>
      <c r="AA59" s="13">
        <f t="shared" si="27"/>
        <v>69</v>
      </c>
      <c r="AB59" s="62">
        <v>30</v>
      </c>
      <c r="AC59" s="143">
        <f>2+12+38</f>
        <v>52</v>
      </c>
      <c r="AD59" s="13">
        <f t="shared" si="28"/>
        <v>47</v>
      </c>
      <c r="AE59" s="62"/>
      <c r="AF59" s="143"/>
      <c r="AG59" s="13">
        <f t="shared" si="29"/>
        <v>47</v>
      </c>
      <c r="AH59" s="62">
        <v>30</v>
      </c>
      <c r="AI59" s="143">
        <f>2+6+16</f>
        <v>24</v>
      </c>
      <c r="AJ59" s="13">
        <f t="shared" si="30"/>
        <v>53</v>
      </c>
      <c r="AK59" s="62">
        <v>30</v>
      </c>
      <c r="AL59" s="143">
        <f>4+10+24+8</f>
        <v>46</v>
      </c>
      <c r="AM59" s="13">
        <f t="shared" si="6"/>
        <v>37</v>
      </c>
      <c r="AN59" s="62"/>
      <c r="AO59" s="143"/>
      <c r="AP59" s="13">
        <f t="shared" si="7"/>
        <v>37</v>
      </c>
      <c r="AQ59" s="62">
        <v>40</v>
      </c>
      <c r="AR59" s="143">
        <f>1+2+8+14</f>
        <v>25</v>
      </c>
      <c r="AS59" s="13">
        <f t="shared" si="8"/>
        <v>52</v>
      </c>
      <c r="AT59" s="62">
        <v>40</v>
      </c>
      <c r="AU59" s="143">
        <f>2+5+23</f>
        <v>30</v>
      </c>
      <c r="AV59" s="13">
        <f t="shared" si="9"/>
        <v>62</v>
      </c>
      <c r="AW59" s="62">
        <v>30</v>
      </c>
      <c r="AX59" s="143">
        <f>4+15+38+2</f>
        <v>59</v>
      </c>
      <c r="AY59" s="13">
        <f t="shared" si="10"/>
        <v>33</v>
      </c>
      <c r="AZ59" s="62"/>
      <c r="BA59" s="143"/>
      <c r="BB59" s="13">
        <f t="shared" si="11"/>
        <v>33</v>
      </c>
      <c r="BC59" s="62">
        <v>40</v>
      </c>
      <c r="BD59" s="143">
        <f>7+13</f>
        <v>20</v>
      </c>
      <c r="BE59" s="13">
        <f t="shared" si="12"/>
        <v>53</v>
      </c>
      <c r="BF59" s="62">
        <v>30</v>
      </c>
      <c r="BG59" s="143">
        <f>4+14+29</f>
        <v>47</v>
      </c>
      <c r="BH59" s="13">
        <f t="shared" si="13"/>
        <v>36</v>
      </c>
      <c r="BI59" s="62"/>
      <c r="BJ59" s="143"/>
      <c r="BK59" s="13">
        <f t="shared" si="14"/>
        <v>36</v>
      </c>
      <c r="BL59" s="62">
        <v>30</v>
      </c>
      <c r="BM59" s="143">
        <f>2+5+26</f>
        <v>33</v>
      </c>
      <c r="BN59" s="13">
        <f t="shared" si="15"/>
        <v>33</v>
      </c>
      <c r="BO59" s="62">
        <v>40</v>
      </c>
      <c r="BP59" s="143">
        <f>1+2+5+17</f>
        <v>25</v>
      </c>
      <c r="BQ59" s="13">
        <f t="shared" si="16"/>
        <v>48</v>
      </c>
      <c r="BR59" s="62">
        <f>-15+50</f>
        <v>35</v>
      </c>
      <c r="BS59" s="143">
        <f>8+9+31</f>
        <v>48</v>
      </c>
      <c r="BT59" s="13">
        <f t="shared" si="17"/>
        <v>35</v>
      </c>
      <c r="BU59" s="62"/>
      <c r="BV59" s="143"/>
      <c r="BW59" s="13">
        <f t="shared" si="18"/>
        <v>35</v>
      </c>
      <c r="BX59" s="62">
        <v>40</v>
      </c>
      <c r="BY59" s="143">
        <f>2+5+20</f>
        <v>27</v>
      </c>
      <c r="BZ59" s="13">
        <f t="shared" si="19"/>
        <v>48</v>
      </c>
      <c r="CA59" s="62">
        <v>30</v>
      </c>
      <c r="CB59" s="143">
        <f>13+31</f>
        <v>44</v>
      </c>
      <c r="CC59" s="13">
        <f t="shared" si="20"/>
        <v>34</v>
      </c>
      <c r="CD59" s="62"/>
      <c r="CE59" s="143"/>
      <c r="CF59" s="13">
        <f t="shared" si="21"/>
        <v>34</v>
      </c>
      <c r="CG59" s="62">
        <v>40</v>
      </c>
      <c r="CH59" s="143">
        <f>2+1+5+14</f>
        <v>22</v>
      </c>
      <c r="CI59" s="13">
        <f t="shared" si="31"/>
        <v>52</v>
      </c>
      <c r="CJ59" s="62">
        <v>40</v>
      </c>
      <c r="CK59" s="143">
        <f>1+1+18</f>
        <v>20</v>
      </c>
      <c r="CL59" s="13">
        <f t="shared" si="32"/>
        <v>72</v>
      </c>
      <c r="CM59" s="62">
        <v>30</v>
      </c>
      <c r="CN59" s="143">
        <f>5+10+42</f>
        <v>57</v>
      </c>
      <c r="CO59" s="13">
        <f t="shared" si="22"/>
        <v>45</v>
      </c>
      <c r="CP59" s="62"/>
      <c r="CQ59" s="143"/>
      <c r="CR59" s="13">
        <f t="shared" si="33"/>
        <v>45</v>
      </c>
      <c r="CS59" s="62"/>
      <c r="CT59" s="143"/>
      <c r="CU59" s="14">
        <f t="shared" si="23"/>
        <v>45</v>
      </c>
      <c r="CV59" s="5">
        <f t="shared" si="36"/>
        <v>743</v>
      </c>
      <c r="CW59" s="4">
        <f t="shared" si="36"/>
        <v>734</v>
      </c>
      <c r="CX59" s="6">
        <f t="shared" si="25"/>
        <v>45</v>
      </c>
      <c r="CY59" s="162">
        <v>214</v>
      </c>
      <c r="CZ59" s="171">
        <f t="shared" si="26"/>
        <v>9630</v>
      </c>
      <c r="DB59" s="2">
        <f t="shared" si="34"/>
        <v>45</v>
      </c>
      <c r="DC59" s="61"/>
      <c r="DD59" s="143"/>
      <c r="DE59" s="149">
        <f t="shared" si="35"/>
        <v>45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8</v>
      </c>
      <c r="G60" s="62">
        <f>-4-36+48</f>
        <v>8</v>
      </c>
      <c r="H60" s="143">
        <v>8</v>
      </c>
      <c r="I60" s="13">
        <f t="shared" si="0"/>
        <v>8</v>
      </c>
      <c r="J60" s="62"/>
      <c r="K60" s="143"/>
      <c r="L60" s="13">
        <f t="shared" si="1"/>
        <v>8</v>
      </c>
      <c r="M60" s="62">
        <f>-8+48</f>
        <v>40</v>
      </c>
      <c r="N60" s="143">
        <f>8</f>
        <v>8</v>
      </c>
      <c r="O60" s="13">
        <f t="shared" si="2"/>
        <v>40</v>
      </c>
      <c r="P60" s="62">
        <f>-19+48</f>
        <v>29</v>
      </c>
      <c r="Q60" s="143">
        <f>6+4+4+3+4+19</f>
        <v>40</v>
      </c>
      <c r="R60" s="30">
        <f t="shared" si="3"/>
        <v>29</v>
      </c>
      <c r="S60" s="62"/>
      <c r="T60" s="143">
        <f>3</f>
        <v>3</v>
      </c>
      <c r="U60" s="13">
        <f t="shared" si="4"/>
        <v>26</v>
      </c>
      <c r="V60" s="62">
        <v>48</v>
      </c>
      <c r="W60" s="143">
        <f>4+16</f>
        <v>20</v>
      </c>
      <c r="X60" s="13">
        <f t="shared" si="5"/>
        <v>54</v>
      </c>
      <c r="Y60" s="62">
        <v>48</v>
      </c>
      <c r="Z60" s="143">
        <f>2+4+2+6+5</f>
        <v>19</v>
      </c>
      <c r="AA60" s="13">
        <f t="shared" si="27"/>
        <v>83</v>
      </c>
      <c r="AB60" s="62">
        <v>24</v>
      </c>
      <c r="AC60" s="143">
        <f>30</f>
        <v>30</v>
      </c>
      <c r="AD60" s="13">
        <f t="shared" si="28"/>
        <v>77</v>
      </c>
      <c r="AE60" s="62"/>
      <c r="AF60" s="143"/>
      <c r="AG60" s="13">
        <f t="shared" si="29"/>
        <v>77</v>
      </c>
      <c r="AH60" s="62"/>
      <c r="AI60" s="143">
        <f>4+5+4+4+20</f>
        <v>37</v>
      </c>
      <c r="AJ60" s="13">
        <f t="shared" si="30"/>
        <v>40</v>
      </c>
      <c r="AK60" s="62">
        <v>24</v>
      </c>
      <c r="AL60" s="143">
        <f>5+26</f>
        <v>31</v>
      </c>
      <c r="AM60" s="13">
        <f t="shared" si="6"/>
        <v>33</v>
      </c>
      <c r="AN60" s="62"/>
      <c r="AO60" s="143">
        <f>4</f>
        <v>4</v>
      </c>
      <c r="AP60" s="13">
        <f t="shared" si="7"/>
        <v>29</v>
      </c>
      <c r="AQ60" s="62">
        <v>24</v>
      </c>
      <c r="AR60" s="143">
        <f>20+4</f>
        <v>24</v>
      </c>
      <c r="AS60" s="13">
        <f t="shared" si="8"/>
        <v>29</v>
      </c>
      <c r="AT60" s="62">
        <v>48</v>
      </c>
      <c r="AU60" s="143">
        <f>1+2+2+2+1+20</f>
        <v>28</v>
      </c>
      <c r="AV60" s="13">
        <f t="shared" si="9"/>
        <v>49</v>
      </c>
      <c r="AW60" s="62">
        <v>24</v>
      </c>
      <c r="AX60" s="143">
        <f>22+4+4</f>
        <v>30</v>
      </c>
      <c r="AY60" s="13">
        <f t="shared" si="10"/>
        <v>43</v>
      </c>
      <c r="AZ60" s="62"/>
      <c r="BA60" s="143"/>
      <c r="BB60" s="13">
        <f t="shared" si="11"/>
        <v>43</v>
      </c>
      <c r="BC60" s="62">
        <v>48</v>
      </c>
      <c r="BD60" s="143">
        <f>10</f>
        <v>10</v>
      </c>
      <c r="BE60" s="13">
        <f t="shared" si="12"/>
        <v>81</v>
      </c>
      <c r="BF60" s="62">
        <v>24</v>
      </c>
      <c r="BG60" s="143">
        <f>6+3+19</f>
        <v>28</v>
      </c>
      <c r="BH60" s="13">
        <f t="shared" si="13"/>
        <v>77</v>
      </c>
      <c r="BI60" s="62"/>
      <c r="BJ60" s="143">
        <f>6</f>
        <v>6</v>
      </c>
      <c r="BK60" s="13">
        <f t="shared" si="14"/>
        <v>71</v>
      </c>
      <c r="BL60" s="62">
        <v>24</v>
      </c>
      <c r="BM60" s="143">
        <f>4+4+3+3+24</f>
        <v>38</v>
      </c>
      <c r="BN60" s="13">
        <f t="shared" si="15"/>
        <v>57</v>
      </c>
      <c r="BO60" s="62">
        <v>48</v>
      </c>
      <c r="BP60" s="143">
        <f>6+2+11</f>
        <v>19</v>
      </c>
      <c r="BQ60" s="13">
        <f t="shared" si="16"/>
        <v>86</v>
      </c>
      <c r="BR60" s="62">
        <v>24</v>
      </c>
      <c r="BS60" s="143">
        <v>36</v>
      </c>
      <c r="BT60" s="13">
        <f t="shared" si="17"/>
        <v>74</v>
      </c>
      <c r="BU60" s="62"/>
      <c r="BV60" s="143"/>
      <c r="BW60" s="13">
        <f t="shared" si="18"/>
        <v>74</v>
      </c>
      <c r="BX60" s="62">
        <f>-5-4-5-3-6+24</f>
        <v>1</v>
      </c>
      <c r="BY60" s="143">
        <v>20</v>
      </c>
      <c r="BZ60" s="13">
        <f t="shared" si="19"/>
        <v>55</v>
      </c>
      <c r="CA60" s="62">
        <v>24</v>
      </c>
      <c r="CB60" s="143">
        <f>10</f>
        <v>10</v>
      </c>
      <c r="CC60" s="13">
        <f t="shared" si="20"/>
        <v>69</v>
      </c>
      <c r="CD60" s="62"/>
      <c r="CE60" s="143">
        <f>4</f>
        <v>4</v>
      </c>
      <c r="CF60" s="13">
        <f t="shared" si="21"/>
        <v>65</v>
      </c>
      <c r="CG60" s="62"/>
      <c r="CH60" s="143">
        <f>4+4+8</f>
        <v>16</v>
      </c>
      <c r="CI60" s="13">
        <f t="shared" si="31"/>
        <v>49</v>
      </c>
      <c r="CJ60" s="62">
        <v>0</v>
      </c>
      <c r="CK60" s="143">
        <f>2+2+1+1+18</f>
        <v>24</v>
      </c>
      <c r="CL60" s="13">
        <f t="shared" si="32"/>
        <v>25</v>
      </c>
      <c r="CM60" s="62">
        <f>-5+24</f>
        <v>19</v>
      </c>
      <c r="CN60" s="143">
        <f>4+21</f>
        <v>25</v>
      </c>
      <c r="CO60" s="13">
        <f t="shared" si="22"/>
        <v>19</v>
      </c>
      <c r="CP60" s="62"/>
      <c r="CQ60" s="143"/>
      <c r="CR60" s="13">
        <f t="shared" si="33"/>
        <v>19</v>
      </c>
      <c r="CS60" s="62"/>
      <c r="CT60" s="143"/>
      <c r="CU60" s="14">
        <f t="shared" si="23"/>
        <v>19</v>
      </c>
      <c r="CV60" s="5">
        <f t="shared" si="36"/>
        <v>529</v>
      </c>
      <c r="CW60" s="4">
        <f t="shared" si="36"/>
        <v>518</v>
      </c>
      <c r="CX60" s="6">
        <f t="shared" si="25"/>
        <v>19</v>
      </c>
      <c r="CY60" s="162">
        <v>28</v>
      </c>
      <c r="CZ60" s="171">
        <f t="shared" si="26"/>
        <v>532</v>
      </c>
      <c r="DB60" s="2">
        <f t="shared" si="34"/>
        <v>19</v>
      </c>
      <c r="DC60" s="61"/>
      <c r="DD60" s="143"/>
      <c r="DE60" s="149">
        <f t="shared" si="35"/>
        <v>19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 t="s">
        <v>316</v>
      </c>
      <c r="E63" s="52" t="s">
        <v>26</v>
      </c>
      <c r="F63" s="14">
        <v>307</v>
      </c>
      <c r="G63" s="62">
        <v>280</v>
      </c>
      <c r="H63" s="143">
        <f>20+7+160</f>
        <v>187</v>
      </c>
      <c r="I63" s="13">
        <f t="shared" si="0"/>
        <v>400</v>
      </c>
      <c r="J63" s="62"/>
      <c r="K63" s="143"/>
      <c r="L63" s="13">
        <f t="shared" si="1"/>
        <v>400</v>
      </c>
      <c r="M63" s="62"/>
      <c r="N63" s="143">
        <f>8+15+180</f>
        <v>203</v>
      </c>
      <c r="O63" s="13">
        <f t="shared" si="2"/>
        <v>197</v>
      </c>
      <c r="P63" s="62">
        <f>-20+420</f>
        <v>400</v>
      </c>
      <c r="Q63" s="143">
        <f>15+4+160</f>
        <v>179</v>
      </c>
      <c r="R63" s="30">
        <f t="shared" si="3"/>
        <v>418</v>
      </c>
      <c r="S63" s="62"/>
      <c r="T63" s="143"/>
      <c r="U63" s="13">
        <f t="shared" si="4"/>
        <v>418</v>
      </c>
      <c r="V63" s="62">
        <v>280</v>
      </c>
      <c r="W63" s="143">
        <f>15+5+100</f>
        <v>120</v>
      </c>
      <c r="X63" s="13">
        <f t="shared" si="5"/>
        <v>578</v>
      </c>
      <c r="Y63" s="62"/>
      <c r="Z63" s="143">
        <f>15+1+130</f>
        <v>146</v>
      </c>
      <c r="AA63" s="13">
        <f t="shared" si="27"/>
        <v>432</v>
      </c>
      <c r="AB63" s="62"/>
      <c r="AC63" s="143">
        <f>15+4+120</f>
        <v>139</v>
      </c>
      <c r="AD63" s="13">
        <f t="shared" si="28"/>
        <v>293</v>
      </c>
      <c r="AE63" s="62"/>
      <c r="AF63" s="143"/>
      <c r="AG63" s="13">
        <f t="shared" si="29"/>
        <v>293</v>
      </c>
      <c r="AH63" s="62">
        <v>280</v>
      </c>
      <c r="AI63" s="143">
        <f>15+120</f>
        <v>135</v>
      </c>
      <c r="AJ63" s="13">
        <f t="shared" si="30"/>
        <v>438</v>
      </c>
      <c r="AK63" s="62"/>
      <c r="AL63" s="143">
        <f>6+95</f>
        <v>101</v>
      </c>
      <c r="AM63" s="13">
        <f t="shared" si="6"/>
        <v>337</v>
      </c>
      <c r="AN63" s="62"/>
      <c r="AO63" s="143"/>
      <c r="AP63" s="13">
        <f t="shared" si="7"/>
        <v>337</v>
      </c>
      <c r="AQ63" s="62">
        <v>280</v>
      </c>
      <c r="AR63" s="143">
        <f>4+200</f>
        <v>204</v>
      </c>
      <c r="AS63" s="13">
        <f t="shared" si="8"/>
        <v>413</v>
      </c>
      <c r="AT63" s="62">
        <v>140</v>
      </c>
      <c r="AU63" s="143">
        <f>4+90+10</f>
        <v>104</v>
      </c>
      <c r="AV63" s="13">
        <f t="shared" si="9"/>
        <v>449</v>
      </c>
      <c r="AW63" s="62">
        <v>280</v>
      </c>
      <c r="AX63" s="143">
        <f>15+4+190+10</f>
        <v>219</v>
      </c>
      <c r="AY63" s="13">
        <f t="shared" si="10"/>
        <v>510</v>
      </c>
      <c r="AZ63" s="62"/>
      <c r="BA63" s="143"/>
      <c r="BB63" s="13">
        <f t="shared" si="11"/>
        <v>510</v>
      </c>
      <c r="BC63" s="62"/>
      <c r="BD63" s="143">
        <f>2+80+5</f>
        <v>87</v>
      </c>
      <c r="BE63" s="13">
        <f t="shared" si="12"/>
        <v>423</v>
      </c>
      <c r="BF63" s="62"/>
      <c r="BG63" s="143">
        <f>4+155</f>
        <v>159</v>
      </c>
      <c r="BH63" s="13">
        <f t="shared" si="13"/>
        <v>264</v>
      </c>
      <c r="BI63" s="62"/>
      <c r="BJ63" s="143"/>
      <c r="BK63" s="13">
        <f t="shared" si="14"/>
        <v>264</v>
      </c>
      <c r="BL63" s="62">
        <v>280</v>
      </c>
      <c r="BM63" s="143">
        <f>15+4+90+6</f>
        <v>115</v>
      </c>
      <c r="BN63" s="13">
        <f t="shared" si="15"/>
        <v>429</v>
      </c>
      <c r="BO63" s="62">
        <v>280</v>
      </c>
      <c r="BP63" s="143">
        <f>15+6+220</f>
        <v>241</v>
      </c>
      <c r="BQ63" s="13">
        <f t="shared" si="16"/>
        <v>468</v>
      </c>
      <c r="BR63" s="62">
        <v>280</v>
      </c>
      <c r="BS63" s="143">
        <f>35+2+270</f>
        <v>307</v>
      </c>
      <c r="BT63" s="13">
        <f t="shared" si="17"/>
        <v>441</v>
      </c>
      <c r="BU63" s="62"/>
      <c r="BV63" s="143"/>
      <c r="BW63" s="13">
        <f t="shared" si="18"/>
        <v>441</v>
      </c>
      <c r="BX63" s="62"/>
      <c r="BY63" s="143">
        <f>30+7+80+60+18</f>
        <v>195</v>
      </c>
      <c r="BZ63" s="13">
        <f t="shared" si="19"/>
        <v>246</v>
      </c>
      <c r="CA63" s="62">
        <v>280</v>
      </c>
      <c r="CB63" s="143">
        <v>150</v>
      </c>
      <c r="CC63" s="13">
        <f t="shared" si="20"/>
        <v>376</v>
      </c>
      <c r="CD63" s="62"/>
      <c r="CE63" s="143"/>
      <c r="CF63" s="13">
        <f t="shared" si="21"/>
        <v>376</v>
      </c>
      <c r="CG63" s="62">
        <v>280</v>
      </c>
      <c r="CH63" s="143">
        <f>15+210+8</f>
        <v>233</v>
      </c>
      <c r="CI63" s="13">
        <f t="shared" si="31"/>
        <v>423</v>
      </c>
      <c r="CJ63" s="62">
        <v>140</v>
      </c>
      <c r="CK63" s="143">
        <f>3+220</f>
        <v>223</v>
      </c>
      <c r="CL63" s="13">
        <f t="shared" si="32"/>
        <v>340</v>
      </c>
      <c r="CM63" s="62">
        <v>140</v>
      </c>
      <c r="CN63" s="143">
        <f>20+270+29</f>
        <v>319</v>
      </c>
      <c r="CO63" s="13">
        <f t="shared" si="22"/>
        <v>161</v>
      </c>
      <c r="CP63" s="62"/>
      <c r="CQ63" s="143"/>
      <c r="CR63" s="13">
        <f t="shared" si="33"/>
        <v>161</v>
      </c>
      <c r="CS63" s="62"/>
      <c r="CT63" s="143"/>
      <c r="CU63" s="14">
        <f t="shared" si="23"/>
        <v>161</v>
      </c>
      <c r="CV63" s="5">
        <f t="shared" si="36"/>
        <v>3620</v>
      </c>
      <c r="CW63" s="4">
        <f t="shared" si="36"/>
        <v>3766</v>
      </c>
      <c r="CX63" s="6">
        <f t="shared" si="25"/>
        <v>161</v>
      </c>
      <c r="CY63" s="162">
        <v>43</v>
      </c>
      <c r="CZ63" s="171">
        <f t="shared" si="26"/>
        <v>6923</v>
      </c>
      <c r="DB63" s="2">
        <f t="shared" si="34"/>
        <v>161</v>
      </c>
      <c r="DC63" s="61"/>
      <c r="DD63" s="143"/>
      <c r="DE63" s="149">
        <f t="shared" si="35"/>
        <v>161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2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2"/>
      <c r="AL64" s="143"/>
      <c r="AM64" s="13">
        <f t="shared" si="6"/>
        <v>0</v>
      </c>
      <c r="AN64" s="62"/>
      <c r="AO64" s="143"/>
      <c r="AP64" s="13">
        <f t="shared" si="7"/>
        <v>0</v>
      </c>
      <c r="AQ64" s="62"/>
      <c r="AR64" s="143"/>
      <c r="AS64" s="13">
        <f t="shared" si="8"/>
        <v>0</v>
      </c>
      <c r="AT64" s="62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43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>
        <v>4</v>
      </c>
      <c r="AU67" s="143"/>
      <c r="AV67" s="13">
        <f t="shared" si="9"/>
        <v>4</v>
      </c>
      <c r="AW67" s="62">
        <v>5</v>
      </c>
      <c r="AX67" s="143">
        <v>4</v>
      </c>
      <c r="AY67" s="13">
        <f t="shared" si="10"/>
        <v>5</v>
      </c>
      <c r="AZ67" s="62"/>
      <c r="BA67" s="143"/>
      <c r="BB67" s="13">
        <f t="shared" si="11"/>
        <v>5</v>
      </c>
      <c r="BC67" s="62">
        <f>-1+7</f>
        <v>6</v>
      </c>
      <c r="BD67" s="143">
        <f>5</f>
        <v>5</v>
      </c>
      <c r="BE67" s="13">
        <f t="shared" si="12"/>
        <v>6</v>
      </c>
      <c r="BF67" s="62">
        <f>-4+25</f>
        <v>21</v>
      </c>
      <c r="BG67" s="143">
        <v>6</v>
      </c>
      <c r="BH67" s="13">
        <f t="shared" si="13"/>
        <v>21</v>
      </c>
      <c r="BI67" s="62"/>
      <c r="BJ67" s="143"/>
      <c r="BK67" s="13">
        <f t="shared" si="14"/>
        <v>21</v>
      </c>
      <c r="BL67" s="62">
        <f>-1+5+2</f>
        <v>6</v>
      </c>
      <c r="BM67" s="143">
        <v>21</v>
      </c>
      <c r="BN67" s="13">
        <f t="shared" si="15"/>
        <v>6</v>
      </c>
      <c r="BO67" s="62">
        <v>12</v>
      </c>
      <c r="BP67" s="143">
        <v>6</v>
      </c>
      <c r="BQ67" s="13">
        <f t="shared" si="16"/>
        <v>12</v>
      </c>
      <c r="BR67" s="62">
        <v>20</v>
      </c>
      <c r="BS67" s="143">
        <v>12</v>
      </c>
      <c r="BT67" s="13">
        <f t="shared" si="17"/>
        <v>20</v>
      </c>
      <c r="BU67" s="62"/>
      <c r="BV67" s="143"/>
      <c r="BW67" s="13">
        <f t="shared" si="18"/>
        <v>20</v>
      </c>
      <c r="BX67" s="62"/>
      <c r="BY67" s="143">
        <v>15</v>
      </c>
      <c r="BZ67" s="13">
        <f t="shared" si="19"/>
        <v>5</v>
      </c>
      <c r="CA67" s="62">
        <v>3</v>
      </c>
      <c r="CB67" s="143">
        <f>2+1</f>
        <v>3</v>
      </c>
      <c r="CC67" s="13">
        <f t="shared" si="20"/>
        <v>5</v>
      </c>
      <c r="CD67" s="62">
        <v>9</v>
      </c>
      <c r="CE67" s="143"/>
      <c r="CF67" s="13">
        <f t="shared" si="21"/>
        <v>14</v>
      </c>
      <c r="CG67" s="62"/>
      <c r="CH67" s="143">
        <v>14</v>
      </c>
      <c r="CI67" s="13">
        <f t="shared" si="31"/>
        <v>0</v>
      </c>
      <c r="CJ67" s="62">
        <f>9+2</f>
        <v>11</v>
      </c>
      <c r="CK67" s="143"/>
      <c r="CL67" s="13">
        <f t="shared" si="32"/>
        <v>11</v>
      </c>
      <c r="CM67" s="62">
        <v>2</v>
      </c>
      <c r="CN67" s="143">
        <v>11</v>
      </c>
      <c r="CO67" s="13">
        <f t="shared" si="22"/>
        <v>2</v>
      </c>
      <c r="CP67" s="62"/>
      <c r="CQ67" s="143"/>
      <c r="CR67" s="13">
        <f t="shared" si="33"/>
        <v>2</v>
      </c>
      <c r="CS67" s="62"/>
      <c r="CT67" s="143"/>
      <c r="CU67" s="14">
        <f t="shared" si="23"/>
        <v>2</v>
      </c>
      <c r="CV67" s="5">
        <f t="shared" si="36"/>
        <v>99</v>
      </c>
      <c r="CW67" s="4">
        <f t="shared" si="36"/>
        <v>97</v>
      </c>
      <c r="CX67" s="6">
        <f t="shared" si="25"/>
        <v>2</v>
      </c>
      <c r="CY67" s="162">
        <v>0</v>
      </c>
      <c r="CZ67" s="171">
        <f t="shared" si="26"/>
        <v>0</v>
      </c>
      <c r="DB67" s="2">
        <f t="shared" si="34"/>
        <v>2</v>
      </c>
      <c r="DC67" s="62"/>
      <c r="DD67" s="143"/>
      <c r="DE67" s="149">
        <f t="shared" si="35"/>
        <v>2</v>
      </c>
    </row>
    <row r="68" spans="1:109" s="18" customFormat="1" ht="15.75" customHeight="1">
      <c r="A68" s="33"/>
      <c r="B68" s="3" t="s">
        <v>329</v>
      </c>
      <c r="C68" s="104" t="s">
        <v>21</v>
      </c>
      <c r="D68" s="34"/>
      <c r="E68" s="34"/>
      <c r="F68" s="14">
        <v>0</v>
      </c>
      <c r="G68" s="62">
        <v>32</v>
      </c>
      <c r="H68" s="143"/>
      <c r="I68" s="13">
        <f>F68+G68-H68</f>
        <v>32</v>
      </c>
      <c r="J68" s="62"/>
      <c r="K68" s="143"/>
      <c r="L68" s="13">
        <f>I68+J68-K68</f>
        <v>32</v>
      </c>
      <c r="M68" s="62"/>
      <c r="N68" s="143"/>
      <c r="O68" s="13">
        <f>L68+M68-N68</f>
        <v>32</v>
      </c>
      <c r="P68" s="62"/>
      <c r="Q68" s="143">
        <v>13</v>
      </c>
      <c r="R68" s="13">
        <f>O68+P68-Q68</f>
        <v>19</v>
      </c>
      <c r="S68" s="62"/>
      <c r="T68" s="143">
        <v>15</v>
      </c>
      <c r="U68" s="13">
        <f t="shared" si="4"/>
        <v>4</v>
      </c>
      <c r="V68" s="62">
        <v>32</v>
      </c>
      <c r="W68" s="143"/>
      <c r="X68" s="13">
        <f t="shared" si="5"/>
        <v>36</v>
      </c>
      <c r="Y68" s="62"/>
      <c r="Z68" s="143">
        <v>16</v>
      </c>
      <c r="AA68" s="13">
        <f t="shared" si="27"/>
        <v>20</v>
      </c>
      <c r="AB68" s="62"/>
      <c r="AC68" s="143"/>
      <c r="AD68" s="13">
        <f t="shared" si="28"/>
        <v>20</v>
      </c>
      <c r="AE68" s="62"/>
      <c r="AF68" s="143"/>
      <c r="AG68" s="13">
        <f t="shared" si="29"/>
        <v>20</v>
      </c>
      <c r="AH68" s="62"/>
      <c r="AI68" s="143"/>
      <c r="AJ68" s="13">
        <f t="shared" si="30"/>
        <v>20</v>
      </c>
      <c r="AK68" s="64">
        <v>32</v>
      </c>
      <c r="AL68" s="143">
        <f>11</f>
        <v>11</v>
      </c>
      <c r="AM68" s="13">
        <f t="shared" si="6"/>
        <v>41</v>
      </c>
      <c r="AN68" s="62"/>
      <c r="AO68" s="143">
        <v>7</v>
      </c>
      <c r="AP68" s="13">
        <f t="shared" si="7"/>
        <v>34</v>
      </c>
      <c r="AQ68" s="62"/>
      <c r="AR68" s="143"/>
      <c r="AS68" s="13">
        <f t="shared" si="8"/>
        <v>34</v>
      </c>
      <c r="AT68" s="62"/>
      <c r="AU68" s="143"/>
      <c r="AV68" s="13">
        <f t="shared" si="9"/>
        <v>34</v>
      </c>
      <c r="AW68" s="62"/>
      <c r="AX68" s="143"/>
      <c r="AY68" s="13">
        <f t="shared" si="10"/>
        <v>34</v>
      </c>
      <c r="AZ68" s="62"/>
      <c r="BA68" s="143"/>
      <c r="BB68" s="13">
        <f t="shared" si="11"/>
        <v>34</v>
      </c>
      <c r="BC68" s="62"/>
      <c r="BD68" s="143">
        <f>18+7</f>
        <v>25</v>
      </c>
      <c r="BE68" s="13">
        <f t="shared" si="12"/>
        <v>9</v>
      </c>
      <c r="BF68" s="62">
        <v>28</v>
      </c>
      <c r="BG68" s="143"/>
      <c r="BH68" s="13">
        <f t="shared" si="13"/>
        <v>37</v>
      </c>
      <c r="BI68" s="62"/>
      <c r="BJ68" s="143">
        <f>17</f>
        <v>17</v>
      </c>
      <c r="BK68" s="13">
        <f t="shared" si="14"/>
        <v>20</v>
      </c>
      <c r="BL68" s="62"/>
      <c r="BM68" s="143"/>
      <c r="BN68" s="13">
        <f t="shared" si="15"/>
        <v>20</v>
      </c>
      <c r="BO68" s="62"/>
      <c r="BP68" s="143"/>
      <c r="BQ68" s="13">
        <f t="shared" si="16"/>
        <v>20</v>
      </c>
      <c r="BR68" s="62"/>
      <c r="BS68" s="143"/>
      <c r="BT68" s="13">
        <f t="shared" si="17"/>
        <v>20</v>
      </c>
      <c r="BU68" s="62"/>
      <c r="BV68" s="143"/>
      <c r="BW68" s="13">
        <f t="shared" si="18"/>
        <v>20</v>
      </c>
      <c r="BX68" s="62"/>
      <c r="BY68" s="143"/>
      <c r="BZ68" s="13">
        <f t="shared" si="19"/>
        <v>20</v>
      </c>
      <c r="CA68" s="62"/>
      <c r="CB68" s="143">
        <f>12</f>
        <v>12</v>
      </c>
      <c r="CC68" s="13">
        <f t="shared" si="20"/>
        <v>8</v>
      </c>
      <c r="CD68" s="62"/>
      <c r="CE68" s="143">
        <v>7</v>
      </c>
      <c r="CF68" s="13">
        <f t="shared" si="21"/>
        <v>1</v>
      </c>
      <c r="CG68" s="62"/>
      <c r="CH68" s="143"/>
      <c r="CI68" s="13">
        <f t="shared" si="31"/>
        <v>1</v>
      </c>
      <c r="CJ68" s="62"/>
      <c r="CK68" s="143"/>
      <c r="CL68" s="13">
        <f t="shared" si="32"/>
        <v>1</v>
      </c>
      <c r="CM68" s="62"/>
      <c r="CN68" s="143"/>
      <c r="CO68" s="13">
        <f t="shared" si="22"/>
        <v>1</v>
      </c>
      <c r="CP68" s="62"/>
      <c r="CQ68" s="143"/>
      <c r="CR68" s="13">
        <f t="shared" si="33"/>
        <v>1</v>
      </c>
      <c r="CS68" s="62"/>
      <c r="CT68" s="143"/>
      <c r="CU68" s="14">
        <f t="shared" si="23"/>
        <v>1</v>
      </c>
      <c r="CV68" s="5">
        <f t="shared" si="36"/>
        <v>124</v>
      </c>
      <c r="CW68" s="4">
        <f t="shared" si="36"/>
        <v>123</v>
      </c>
      <c r="CX68" s="6">
        <f t="shared" si="25"/>
        <v>1</v>
      </c>
      <c r="CY68" s="162">
        <v>0</v>
      </c>
      <c r="CZ68" s="171">
        <f t="shared" si="26"/>
        <v>0</v>
      </c>
      <c r="DB68" s="2">
        <f t="shared" si="34"/>
        <v>1</v>
      </c>
      <c r="DC68" s="62"/>
      <c r="DD68" s="143"/>
      <c r="DE68" s="149">
        <f t="shared" si="35"/>
        <v>1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4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6" si="38">BW69+BX69-BY69</f>
        <v>0</v>
      </c>
      <c r="CA69" s="62"/>
      <c r="CB69" s="143"/>
      <c r="CC69" s="13">
        <f t="shared" ref="CC69:CC86" si="39">BZ69+CA69-CB69</f>
        <v>0</v>
      </c>
      <c r="CD69" s="62"/>
      <c r="CE69" s="143"/>
      <c r="CF69" s="13">
        <f t="shared" ref="CF69:CF86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6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4" si="42">CR69+CS69-CT69</f>
        <v>0</v>
      </c>
      <c r="CV69" s="5">
        <f t="shared" ref="CV69:CW94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4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20</v>
      </c>
      <c r="G70" s="62"/>
      <c r="H70" s="143"/>
      <c r="I70" s="13">
        <f>F70+G70-H70</f>
        <v>20</v>
      </c>
      <c r="J70" s="62"/>
      <c r="K70" s="143"/>
      <c r="L70" s="13">
        <f>I70+J70-K70</f>
        <v>20</v>
      </c>
      <c r="M70" s="62"/>
      <c r="N70" s="143"/>
      <c r="O70" s="13">
        <f>L70+M70-N70</f>
        <v>20</v>
      </c>
      <c r="P70" s="62"/>
      <c r="Q70" s="143"/>
      <c r="R70" s="30">
        <f>O70+P70-Q70</f>
        <v>20</v>
      </c>
      <c r="S70" s="62"/>
      <c r="T70" s="143"/>
      <c r="U70" s="13">
        <f>R70+S70-T70</f>
        <v>20</v>
      </c>
      <c r="V70" s="62"/>
      <c r="W70" s="143"/>
      <c r="X70" s="13">
        <f>U70+V70-W70</f>
        <v>20</v>
      </c>
      <c r="Y70" s="62"/>
      <c r="Z70" s="143"/>
      <c r="AA70" s="13">
        <f>X70+Y70-Z70</f>
        <v>20</v>
      </c>
      <c r="AB70" s="62"/>
      <c r="AC70" s="143"/>
      <c r="AD70" s="13">
        <f>AA70+AB70-AC70</f>
        <v>20</v>
      </c>
      <c r="AE70" s="62"/>
      <c r="AF70" s="143"/>
      <c r="AG70" s="13">
        <f>AD70+AE70-AF70</f>
        <v>20</v>
      </c>
      <c r="AH70" s="62"/>
      <c r="AI70" s="143"/>
      <c r="AJ70" s="13">
        <f>AG70+AH70-AI70</f>
        <v>20</v>
      </c>
      <c r="AK70" s="62"/>
      <c r="AL70" s="143"/>
      <c r="AM70" s="13">
        <f>AJ70+AK70-AL70</f>
        <v>20</v>
      </c>
      <c r="AN70" s="62"/>
      <c r="AO70" s="143"/>
      <c r="AP70" s="13">
        <f>AM70+AN70-AO70</f>
        <v>20</v>
      </c>
      <c r="AQ70" s="62"/>
      <c r="AR70" s="143"/>
      <c r="AS70" s="13">
        <f>AP70+AQ70-AR70</f>
        <v>20</v>
      </c>
      <c r="AT70" s="62"/>
      <c r="AU70" s="143"/>
      <c r="AV70" s="13">
        <f>AS70+AT70-AU70</f>
        <v>20</v>
      </c>
      <c r="AW70" s="62"/>
      <c r="AX70" s="143"/>
      <c r="AY70" s="13">
        <f>AV70+AW70-AX70</f>
        <v>20</v>
      </c>
      <c r="AZ70" s="62"/>
      <c r="BA70" s="143"/>
      <c r="BB70" s="13">
        <f>AY70+AZ70-BA70</f>
        <v>20</v>
      </c>
      <c r="BC70" s="62"/>
      <c r="BD70" s="143"/>
      <c r="BE70" s="13">
        <f>BB70+BC70-BD70</f>
        <v>20</v>
      </c>
      <c r="BF70" s="62"/>
      <c r="BG70" s="143"/>
      <c r="BH70" s="13">
        <f>BE70+BF70-BG70</f>
        <v>20</v>
      </c>
      <c r="BI70" s="62"/>
      <c r="BJ70" s="143"/>
      <c r="BK70" s="13">
        <f>BH70+BI70-BJ70</f>
        <v>20</v>
      </c>
      <c r="BL70" s="62"/>
      <c r="BM70" s="143"/>
      <c r="BN70" s="13">
        <f>BK70+BL70-BM70</f>
        <v>20</v>
      </c>
      <c r="BO70" s="62"/>
      <c r="BP70" s="143"/>
      <c r="BQ70" s="13">
        <f>BN70+BO70-BP70</f>
        <v>20</v>
      </c>
      <c r="BR70" s="62"/>
      <c r="BS70" s="143"/>
      <c r="BT70" s="13">
        <f t="shared" si="37"/>
        <v>20</v>
      </c>
      <c r="BU70" s="62"/>
      <c r="BV70" s="143"/>
      <c r="BW70" s="13">
        <f>BT70+BU70-BV70</f>
        <v>20</v>
      </c>
      <c r="BX70" s="62"/>
      <c r="BY70" s="143"/>
      <c r="BZ70" s="13">
        <f t="shared" si="38"/>
        <v>20</v>
      </c>
      <c r="CA70" s="62"/>
      <c r="CB70" s="143"/>
      <c r="CC70" s="13">
        <f t="shared" si="39"/>
        <v>20</v>
      </c>
      <c r="CD70" s="62"/>
      <c r="CE70" s="143"/>
      <c r="CF70" s="13">
        <f t="shared" si="40"/>
        <v>20</v>
      </c>
      <c r="CG70" s="62"/>
      <c r="CH70" s="143"/>
      <c r="CI70" s="13">
        <f t="shared" ref="CI70:CI86" si="46">CF70+CG70-CH70</f>
        <v>20</v>
      </c>
      <c r="CJ70" s="62"/>
      <c r="CK70" s="143"/>
      <c r="CL70" s="13">
        <f t="shared" ref="CL70:CL86" si="47">CI70+CJ70-CK70</f>
        <v>20</v>
      </c>
      <c r="CM70" s="62"/>
      <c r="CN70" s="143"/>
      <c r="CO70" s="13">
        <f t="shared" si="41"/>
        <v>20</v>
      </c>
      <c r="CP70" s="62"/>
      <c r="CQ70" s="143"/>
      <c r="CR70" s="13">
        <f t="shared" ref="CR70:CR86" si="48">CO70+CP70-CQ70</f>
        <v>20</v>
      </c>
      <c r="CS70" s="62"/>
      <c r="CT70" s="143"/>
      <c r="CU70" s="14">
        <f t="shared" si="42"/>
        <v>20</v>
      </c>
      <c r="CV70" s="5">
        <f t="shared" si="43"/>
        <v>0</v>
      </c>
      <c r="CW70" s="4">
        <f t="shared" si="43"/>
        <v>0</v>
      </c>
      <c r="CX70" s="6">
        <f t="shared" si="44"/>
        <v>20</v>
      </c>
      <c r="CY70" s="162">
        <v>0</v>
      </c>
      <c r="CZ70" s="171">
        <f t="shared" si="45"/>
        <v>0</v>
      </c>
      <c r="DB70" s="2">
        <f t="shared" ref="DB70:DB94" si="49">CU70</f>
        <v>20</v>
      </c>
      <c r="DC70" s="62"/>
      <c r="DD70" s="143"/>
      <c r="DE70" s="149">
        <f t="shared" si="35"/>
        <v>20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3</v>
      </c>
      <c r="G71" s="62"/>
      <c r="H71" s="143"/>
      <c r="I71" s="13">
        <f>F71+G71-H71</f>
        <v>3</v>
      </c>
      <c r="J71" s="62"/>
      <c r="K71" s="143"/>
      <c r="L71" s="13">
        <f>I71+J71-K71</f>
        <v>3</v>
      </c>
      <c r="M71" s="62"/>
      <c r="N71" s="143"/>
      <c r="O71" s="13">
        <f>L71+M71-N71</f>
        <v>3</v>
      </c>
      <c r="P71" s="62">
        <v>32</v>
      </c>
      <c r="Q71" s="143">
        <f>1+2</f>
        <v>3</v>
      </c>
      <c r="R71" s="13">
        <f>O71+P71-Q71</f>
        <v>32</v>
      </c>
      <c r="S71" s="62"/>
      <c r="T71" s="143">
        <f>7</f>
        <v>7</v>
      </c>
      <c r="U71" s="13">
        <f>R71+S71-T71</f>
        <v>25</v>
      </c>
      <c r="V71" s="62"/>
      <c r="W71" s="143">
        <f>7+4</f>
        <v>11</v>
      </c>
      <c r="X71" s="13">
        <f>U71+V71-W71</f>
        <v>14</v>
      </c>
      <c r="Y71" s="62">
        <v>32</v>
      </c>
      <c r="Z71" s="143">
        <v>32</v>
      </c>
      <c r="AA71" s="13">
        <f>X71+Y71-Z71</f>
        <v>14</v>
      </c>
      <c r="AB71" s="62"/>
      <c r="AC71" s="143"/>
      <c r="AD71" s="13">
        <f>AA71+AB71-AC71</f>
        <v>14</v>
      </c>
      <c r="AE71" s="62"/>
      <c r="AF71" s="143"/>
      <c r="AG71" s="13">
        <f>AD71+AE71-AF71</f>
        <v>14</v>
      </c>
      <c r="AH71" s="62">
        <f>-7+36</f>
        <v>29</v>
      </c>
      <c r="AI71" s="143">
        <f>14</f>
        <v>14</v>
      </c>
      <c r="AJ71" s="13">
        <f>AG71+AH71-AI71</f>
        <v>29</v>
      </c>
      <c r="AK71" s="62"/>
      <c r="AL71" s="143">
        <f>1+2</f>
        <v>3</v>
      </c>
      <c r="AM71" s="13">
        <f>AJ71+AK71-AL71</f>
        <v>26</v>
      </c>
      <c r="AN71" s="62"/>
      <c r="AO71" s="143"/>
      <c r="AP71" s="13">
        <f>AM71+AN71-AO71</f>
        <v>26</v>
      </c>
      <c r="AQ71" s="62"/>
      <c r="AR71" s="143"/>
      <c r="AS71" s="13">
        <f>AP71+AQ71-AR71</f>
        <v>26</v>
      </c>
      <c r="AT71" s="62">
        <v>32</v>
      </c>
      <c r="AU71" s="143"/>
      <c r="AV71" s="13">
        <f>AS71+AT71-AU71</f>
        <v>58</v>
      </c>
      <c r="AW71" s="62"/>
      <c r="AX71" s="143">
        <f>15</f>
        <v>15</v>
      </c>
      <c r="AY71" s="13">
        <f>AV71+AW71-AX71</f>
        <v>43</v>
      </c>
      <c r="AZ71" s="62"/>
      <c r="BA71" s="143"/>
      <c r="BB71" s="13">
        <f>AY71+AZ71-BA71</f>
        <v>43</v>
      </c>
      <c r="BC71" s="62"/>
      <c r="BD71" s="143">
        <f>14+2</f>
        <v>16</v>
      </c>
      <c r="BE71" s="13">
        <f>BB71+BC71-BD71</f>
        <v>27</v>
      </c>
      <c r="BF71" s="62">
        <v>32</v>
      </c>
      <c r="BG71" s="143">
        <v>1</v>
      </c>
      <c r="BH71" s="13">
        <f>BE71+BF71-BG71</f>
        <v>58</v>
      </c>
      <c r="BI71" s="62"/>
      <c r="BJ71" s="143">
        <f>11+7</f>
        <v>18</v>
      </c>
      <c r="BK71" s="13">
        <f>BH71+BI71-BJ71</f>
        <v>40</v>
      </c>
      <c r="BL71" s="62"/>
      <c r="BM71" s="143">
        <f>10+4</f>
        <v>14</v>
      </c>
      <c r="BN71" s="13">
        <f>BK71+BL71-BM71</f>
        <v>26</v>
      </c>
      <c r="BO71" s="62"/>
      <c r="BP71" s="143"/>
      <c r="BQ71" s="13">
        <f>BN71+BO71-BP71</f>
        <v>26</v>
      </c>
      <c r="BR71" s="62"/>
      <c r="BS71" s="143"/>
      <c r="BT71" s="13">
        <f t="shared" si="37"/>
        <v>26</v>
      </c>
      <c r="BU71" s="62"/>
      <c r="BV71" s="143"/>
      <c r="BW71" s="13">
        <f>BT71+BU71-BV71</f>
        <v>26</v>
      </c>
      <c r="BX71" s="62"/>
      <c r="BY71" s="143"/>
      <c r="BZ71" s="13">
        <f t="shared" si="38"/>
        <v>26</v>
      </c>
      <c r="CA71" s="62">
        <v>32</v>
      </c>
      <c r="CB71" s="143">
        <f>13+3+7+1</f>
        <v>24</v>
      </c>
      <c r="CC71" s="13">
        <f t="shared" si="39"/>
        <v>34</v>
      </c>
      <c r="CD71" s="62"/>
      <c r="CE71" s="143"/>
      <c r="CF71" s="13">
        <f t="shared" si="40"/>
        <v>34</v>
      </c>
      <c r="CG71" s="62"/>
      <c r="CH71" s="143">
        <f>14</f>
        <v>14</v>
      </c>
      <c r="CI71" s="13">
        <f t="shared" si="46"/>
        <v>20</v>
      </c>
      <c r="CJ71" s="62"/>
      <c r="CK71" s="143">
        <f>1</f>
        <v>1</v>
      </c>
      <c r="CL71" s="13">
        <f t="shared" si="47"/>
        <v>19</v>
      </c>
      <c r="CM71" s="62"/>
      <c r="CN71" s="143"/>
      <c r="CO71" s="13">
        <f t="shared" si="41"/>
        <v>19</v>
      </c>
      <c r="CP71" s="62"/>
      <c r="CQ71" s="143"/>
      <c r="CR71" s="13">
        <f t="shared" si="48"/>
        <v>19</v>
      </c>
      <c r="CS71" s="62"/>
      <c r="CT71" s="143"/>
      <c r="CU71" s="14">
        <f t="shared" si="42"/>
        <v>19</v>
      </c>
      <c r="CV71" s="5">
        <f t="shared" si="43"/>
        <v>189</v>
      </c>
      <c r="CW71" s="4">
        <f t="shared" si="43"/>
        <v>173</v>
      </c>
      <c r="CX71" s="6">
        <f t="shared" si="44"/>
        <v>19</v>
      </c>
      <c r="CY71" s="162">
        <v>163</v>
      </c>
      <c r="CZ71" s="171">
        <f t="shared" si="45"/>
        <v>3097</v>
      </c>
      <c r="DB71" s="2">
        <f t="shared" si="49"/>
        <v>19</v>
      </c>
      <c r="DC71" s="62"/>
      <c r="DD71" s="143"/>
      <c r="DE71" s="149">
        <f t="shared" ref="DE71:DE94" si="50">DC71+DB71-DD71</f>
        <v>19</v>
      </c>
    </row>
    <row r="72" spans="1:109" ht="15.75" customHeight="1">
      <c r="A72" s="33"/>
      <c r="B72" s="3" t="s">
        <v>328</v>
      </c>
      <c r="C72" s="104" t="s">
        <v>21</v>
      </c>
      <c r="D72" s="34"/>
      <c r="E72" s="34"/>
      <c r="F72" s="14">
        <v>0</v>
      </c>
      <c r="G72" s="61">
        <v>80</v>
      </c>
      <c r="H72" s="199"/>
      <c r="I72" s="13">
        <f>F72+G72-H72</f>
        <v>80</v>
      </c>
      <c r="J72" s="61"/>
      <c r="K72" s="199"/>
      <c r="L72" s="13">
        <f>I72+J72-K72</f>
        <v>80</v>
      </c>
      <c r="M72" s="61"/>
      <c r="N72" s="199"/>
      <c r="O72" s="13">
        <f>L72+M72-N72</f>
        <v>80</v>
      </c>
      <c r="P72" s="61"/>
      <c r="Q72" s="199">
        <v>44</v>
      </c>
      <c r="R72" s="30">
        <f>O72+P72-Q72</f>
        <v>36</v>
      </c>
      <c r="S72" s="61"/>
      <c r="T72" s="199">
        <v>36</v>
      </c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>
        <v>80</v>
      </c>
      <c r="AL72" s="199"/>
      <c r="AM72" s="13">
        <f>AJ72+AK72-AL72</f>
        <v>80</v>
      </c>
      <c r="AN72" s="61"/>
      <c r="AO72" s="199"/>
      <c r="AP72" s="13">
        <f>AM72+AN72-AO72</f>
        <v>80</v>
      </c>
      <c r="AQ72" s="61"/>
      <c r="AR72" s="199">
        <v>41</v>
      </c>
      <c r="AS72" s="13">
        <f>AP72+AQ72-AR72</f>
        <v>39</v>
      </c>
      <c r="AT72" s="61"/>
      <c r="AU72" s="199"/>
      <c r="AV72" s="13">
        <f>AS72+AT72-AU72</f>
        <v>39</v>
      </c>
      <c r="AW72" s="61"/>
      <c r="AX72" s="199"/>
      <c r="AY72" s="13">
        <f>AV72+AW72-AX72</f>
        <v>39</v>
      </c>
      <c r="AZ72" s="61"/>
      <c r="BA72" s="199"/>
      <c r="BB72" s="13">
        <f>AY72+AZ72-BA72</f>
        <v>39</v>
      </c>
      <c r="BC72" s="61"/>
      <c r="BD72" s="199"/>
      <c r="BE72" s="13">
        <f>BB72+BC72-BD72</f>
        <v>39</v>
      </c>
      <c r="BF72" s="61">
        <f>-13+75</f>
        <v>62</v>
      </c>
      <c r="BG72" s="199">
        <f>33+6</f>
        <v>39</v>
      </c>
      <c r="BH72" s="13">
        <f>BE72+BF72-BG72</f>
        <v>62</v>
      </c>
      <c r="BI72" s="61"/>
      <c r="BJ72" s="199"/>
      <c r="BK72" s="13">
        <f>BH72+BI72-BJ72</f>
        <v>62</v>
      </c>
      <c r="BL72" s="61"/>
      <c r="BM72" s="199"/>
      <c r="BN72" s="13">
        <f>BK72+BL72-BM72</f>
        <v>62</v>
      </c>
      <c r="BO72" s="61"/>
      <c r="BP72" s="199"/>
      <c r="BQ72" s="13">
        <f>BN72+BO72-BP72</f>
        <v>62</v>
      </c>
      <c r="BR72" s="61"/>
      <c r="BS72" s="199"/>
      <c r="BT72" s="13">
        <f t="shared" si="37"/>
        <v>62</v>
      </c>
      <c r="BU72" s="61"/>
      <c r="BV72" s="199"/>
      <c r="BW72" s="13">
        <f>BT72+BU72-BV72</f>
        <v>62</v>
      </c>
      <c r="BX72" s="61"/>
      <c r="BY72" s="199"/>
      <c r="BZ72" s="13">
        <f t="shared" si="38"/>
        <v>62</v>
      </c>
      <c r="CA72" s="61">
        <v>80</v>
      </c>
      <c r="CB72" s="199"/>
      <c r="CC72" s="13">
        <f t="shared" si="39"/>
        <v>142</v>
      </c>
      <c r="CD72" s="61"/>
      <c r="CE72" s="199"/>
      <c r="CF72" s="13">
        <f t="shared" si="40"/>
        <v>142</v>
      </c>
      <c r="CG72" s="61"/>
      <c r="CH72" s="199">
        <f>65+36</f>
        <v>101</v>
      </c>
      <c r="CI72" s="13">
        <f t="shared" si="46"/>
        <v>41</v>
      </c>
      <c r="CJ72" s="61"/>
      <c r="CK72" s="199"/>
      <c r="CL72" s="13">
        <f t="shared" si="47"/>
        <v>41</v>
      </c>
      <c r="CM72" s="61">
        <v>4</v>
      </c>
      <c r="CN72" s="199"/>
      <c r="CO72" s="13">
        <f t="shared" si="41"/>
        <v>45</v>
      </c>
      <c r="CP72" s="61"/>
      <c r="CQ72" s="199"/>
      <c r="CR72" s="13">
        <f t="shared" si="48"/>
        <v>45</v>
      </c>
      <c r="CS72" s="61"/>
      <c r="CT72" s="199"/>
      <c r="CU72" s="14">
        <f t="shared" si="42"/>
        <v>45</v>
      </c>
      <c r="CV72" s="46">
        <f t="shared" si="43"/>
        <v>306</v>
      </c>
      <c r="CW72" s="4">
        <f t="shared" si="43"/>
        <v>261</v>
      </c>
      <c r="CX72" s="45">
        <f t="shared" si="44"/>
        <v>45</v>
      </c>
      <c r="CY72" s="162">
        <v>0</v>
      </c>
      <c r="CZ72" s="171">
        <f t="shared" si="45"/>
        <v>0</v>
      </c>
      <c r="DB72" s="2">
        <f t="shared" si="49"/>
        <v>45</v>
      </c>
      <c r="DC72" s="62"/>
      <c r="DD72" s="143"/>
      <c r="DE72" s="149">
        <f t="shared" si="50"/>
        <v>45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13</v>
      </c>
      <c r="G73" s="62"/>
      <c r="H73" s="143"/>
      <c r="I73" s="13">
        <f t="shared" ref="I73:I76" si="51">F73+G73-H73</f>
        <v>13</v>
      </c>
      <c r="J73" s="62"/>
      <c r="K73" s="143"/>
      <c r="L73" s="13">
        <f t="shared" ref="L73:L77" si="52">I73+J73-K73</f>
        <v>13</v>
      </c>
      <c r="M73" s="62"/>
      <c r="N73" s="143"/>
      <c r="O73" s="13">
        <f t="shared" ref="O73:O77" si="53">L73+M73-N73</f>
        <v>13</v>
      </c>
      <c r="P73" s="62"/>
      <c r="Q73" s="143"/>
      <c r="R73" s="30">
        <f t="shared" ref="R73:R77" si="54">O73+P73-Q73</f>
        <v>13</v>
      </c>
      <c r="S73" s="62"/>
      <c r="T73" s="143"/>
      <c r="U73" s="13">
        <f t="shared" ref="U73:U76" si="55">R73+S73-T73</f>
        <v>13</v>
      </c>
      <c r="V73" s="62"/>
      <c r="W73" s="143"/>
      <c r="X73" s="13">
        <f t="shared" ref="X73:X77" si="56">U73+V73-W73</f>
        <v>13</v>
      </c>
      <c r="Y73" s="62"/>
      <c r="Z73" s="143"/>
      <c r="AA73" s="13">
        <f t="shared" ref="AA73:AA94" si="57">X73+Y73-Z73</f>
        <v>13</v>
      </c>
      <c r="AB73" s="62"/>
      <c r="AC73" s="143"/>
      <c r="AD73" s="13">
        <f t="shared" ref="AD73:AD77" si="58">AA73+AB73-AC73</f>
        <v>13</v>
      </c>
      <c r="AE73" s="62"/>
      <c r="AF73" s="143"/>
      <c r="AG73" s="13">
        <f t="shared" ref="AG73:AG77" si="59">AD73+AE73-AF73</f>
        <v>13</v>
      </c>
      <c r="AH73" s="62"/>
      <c r="AI73" s="143"/>
      <c r="AJ73" s="13">
        <f t="shared" ref="AJ73:AJ77" si="60">AG73+AH73-AI73</f>
        <v>13</v>
      </c>
      <c r="AK73" s="62"/>
      <c r="AL73" s="143"/>
      <c r="AM73" s="13">
        <f t="shared" ref="AM73:AM77" si="61">AJ73+AK73-AL73</f>
        <v>13</v>
      </c>
      <c r="AN73" s="62"/>
      <c r="AO73" s="143"/>
      <c r="AP73" s="13">
        <f t="shared" ref="AP73:AP77" si="62">AM73+AN73-AO73</f>
        <v>13</v>
      </c>
      <c r="AQ73" s="62"/>
      <c r="AR73" s="143"/>
      <c r="AS73" s="13">
        <f t="shared" ref="AS73:AS77" si="63">AP73+AQ73-AR73</f>
        <v>13</v>
      </c>
      <c r="AT73" s="62"/>
      <c r="AU73" s="143"/>
      <c r="AV73" s="13">
        <f t="shared" ref="AV73:AV77" si="64">AS73+AT73-AU73</f>
        <v>13</v>
      </c>
      <c r="AW73" s="62"/>
      <c r="AX73" s="143"/>
      <c r="AY73" s="13">
        <f t="shared" ref="AY73:AY77" si="65">AV73+AW73-AX73</f>
        <v>13</v>
      </c>
      <c r="AZ73" s="62"/>
      <c r="BA73" s="143"/>
      <c r="BB73" s="13">
        <f t="shared" ref="BB73:BB77" si="66">AY73+AZ73-BA73</f>
        <v>13</v>
      </c>
      <c r="BC73" s="62"/>
      <c r="BD73" s="143"/>
      <c r="BE73" s="13">
        <f t="shared" ref="BE73:BE77" si="67">BB73+BC73-BD73</f>
        <v>13</v>
      </c>
      <c r="BF73" s="62"/>
      <c r="BG73" s="143"/>
      <c r="BH73" s="13">
        <f t="shared" ref="BH73:BH77" si="68">BE73+BF73-BG73</f>
        <v>13</v>
      </c>
      <c r="BI73" s="62"/>
      <c r="BJ73" s="143"/>
      <c r="BK73" s="13">
        <f t="shared" ref="BK73:BK77" si="69">BH73+BI73-BJ73</f>
        <v>13</v>
      </c>
      <c r="BL73" s="62"/>
      <c r="BM73" s="143"/>
      <c r="BN73" s="13">
        <f t="shared" ref="BN73:BN77" si="70">BK73+BL73-BM73</f>
        <v>13</v>
      </c>
      <c r="BO73" s="62"/>
      <c r="BP73" s="143"/>
      <c r="BQ73" s="13">
        <f t="shared" ref="BQ73:BQ77" si="71">BN73+BO73-BP73</f>
        <v>13</v>
      </c>
      <c r="BR73" s="62"/>
      <c r="BS73" s="143"/>
      <c r="BT73" s="13">
        <f t="shared" si="37"/>
        <v>13</v>
      </c>
      <c r="BU73" s="62"/>
      <c r="BV73" s="143"/>
      <c r="BW73" s="13">
        <f t="shared" ref="BW73:BW77" si="72">BT73+BU73-BV73</f>
        <v>13</v>
      </c>
      <c r="BX73" s="62"/>
      <c r="BY73" s="143"/>
      <c r="BZ73" s="13">
        <f t="shared" si="38"/>
        <v>13</v>
      </c>
      <c r="CA73" s="62"/>
      <c r="CB73" s="143"/>
      <c r="CC73" s="13">
        <f t="shared" si="39"/>
        <v>13</v>
      </c>
      <c r="CD73" s="62"/>
      <c r="CE73" s="143"/>
      <c r="CF73" s="13">
        <f t="shared" si="40"/>
        <v>13</v>
      </c>
      <c r="CG73" s="62"/>
      <c r="CH73" s="143"/>
      <c r="CI73" s="13">
        <f t="shared" si="46"/>
        <v>13</v>
      </c>
      <c r="CJ73" s="62"/>
      <c r="CK73" s="143"/>
      <c r="CL73" s="13">
        <f t="shared" si="47"/>
        <v>13</v>
      </c>
      <c r="CM73" s="62"/>
      <c r="CN73" s="143"/>
      <c r="CO73" s="13">
        <f t="shared" si="41"/>
        <v>13</v>
      </c>
      <c r="CP73" s="62"/>
      <c r="CQ73" s="143"/>
      <c r="CR73" s="13">
        <f t="shared" si="48"/>
        <v>13</v>
      </c>
      <c r="CS73" s="62"/>
      <c r="CT73" s="143"/>
      <c r="CU73" s="14">
        <f t="shared" si="42"/>
        <v>13</v>
      </c>
      <c r="CV73" s="5">
        <f t="shared" si="43"/>
        <v>0</v>
      </c>
      <c r="CW73" s="4">
        <f t="shared" si="43"/>
        <v>0</v>
      </c>
      <c r="CX73" s="6">
        <f t="shared" si="44"/>
        <v>13</v>
      </c>
      <c r="CY73" s="162">
        <v>214</v>
      </c>
      <c r="CZ73" s="171">
        <f t="shared" si="45"/>
        <v>2782</v>
      </c>
      <c r="DB73" s="2">
        <f t="shared" si="49"/>
        <v>13</v>
      </c>
      <c r="DC73" s="62"/>
      <c r="DD73" s="143"/>
      <c r="DE73" s="149">
        <f t="shared" si="50"/>
        <v>13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2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2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9</v>
      </c>
      <c r="G75" s="62">
        <f>-25+52</f>
        <v>27</v>
      </c>
      <c r="H75" s="143">
        <f>3+6</f>
        <v>9</v>
      </c>
      <c r="I75" s="13">
        <f t="shared" si="51"/>
        <v>27</v>
      </c>
      <c r="J75" s="62"/>
      <c r="K75" s="143"/>
      <c r="L75" s="13">
        <f>I75+J75-K75</f>
        <v>27</v>
      </c>
      <c r="M75" s="62"/>
      <c r="N75" s="143">
        <f>2+18+1</f>
        <v>21</v>
      </c>
      <c r="O75" s="13">
        <f t="shared" si="53"/>
        <v>6</v>
      </c>
      <c r="P75" s="62">
        <f>-19+24</f>
        <v>5</v>
      </c>
      <c r="Q75" s="143">
        <f>3+3</f>
        <v>6</v>
      </c>
      <c r="R75" s="30">
        <f t="shared" si="54"/>
        <v>5</v>
      </c>
      <c r="S75" s="62"/>
      <c r="T75" s="143"/>
      <c r="U75" s="13">
        <f t="shared" si="55"/>
        <v>5</v>
      </c>
      <c r="V75" s="62">
        <f>-10+14</f>
        <v>4</v>
      </c>
      <c r="W75" s="143">
        <f>1+3+1</f>
        <v>5</v>
      </c>
      <c r="X75" s="13">
        <f t="shared" si="56"/>
        <v>4</v>
      </c>
      <c r="Y75" s="62">
        <f>-11+18</f>
        <v>7</v>
      </c>
      <c r="Z75" s="143">
        <f>1+3</f>
        <v>4</v>
      </c>
      <c r="AA75" s="13">
        <f t="shared" si="57"/>
        <v>7</v>
      </c>
      <c r="AB75" s="62">
        <f>-30+35</f>
        <v>5</v>
      </c>
      <c r="AC75" s="143">
        <f>2+5</f>
        <v>7</v>
      </c>
      <c r="AD75" s="13">
        <f t="shared" si="58"/>
        <v>5</v>
      </c>
      <c r="AE75" s="62"/>
      <c r="AF75" s="143"/>
      <c r="AG75" s="13">
        <f t="shared" si="59"/>
        <v>5</v>
      </c>
      <c r="AH75" s="62">
        <f>-6+10</f>
        <v>4</v>
      </c>
      <c r="AI75" s="143">
        <f>1+4</f>
        <v>5</v>
      </c>
      <c r="AJ75" s="13">
        <f t="shared" si="60"/>
        <v>4</v>
      </c>
      <c r="AK75" s="62">
        <f>-14-8+24+3</f>
        <v>5</v>
      </c>
      <c r="AL75" s="143">
        <v>4</v>
      </c>
      <c r="AM75" s="13">
        <f t="shared" si="61"/>
        <v>5</v>
      </c>
      <c r="AN75" s="62"/>
      <c r="AO75" s="143"/>
      <c r="AP75" s="13">
        <f t="shared" si="62"/>
        <v>5</v>
      </c>
      <c r="AQ75" s="62">
        <f>-10+16</f>
        <v>6</v>
      </c>
      <c r="AR75" s="143">
        <f>1+4</f>
        <v>5</v>
      </c>
      <c r="AS75" s="13">
        <f t="shared" si="63"/>
        <v>6</v>
      </c>
      <c r="AT75" s="62">
        <f>-14+24</f>
        <v>10</v>
      </c>
      <c r="AU75" s="143">
        <f>1+5</f>
        <v>6</v>
      </c>
      <c r="AV75" s="13">
        <f t="shared" si="64"/>
        <v>10</v>
      </c>
      <c r="AW75" s="62">
        <f>-25+29</f>
        <v>4</v>
      </c>
      <c r="AX75" s="143">
        <f>3+6+1+2</f>
        <v>12</v>
      </c>
      <c r="AY75" s="13">
        <f t="shared" si="65"/>
        <v>2</v>
      </c>
      <c r="AZ75" s="62"/>
      <c r="BA75" s="143"/>
      <c r="BB75" s="13">
        <f t="shared" si="66"/>
        <v>2</v>
      </c>
      <c r="BC75" s="62">
        <f>-2+8</f>
        <v>6</v>
      </c>
      <c r="BD75" s="143">
        <v>2</v>
      </c>
      <c r="BE75" s="13">
        <f t="shared" si="67"/>
        <v>6</v>
      </c>
      <c r="BF75" s="62">
        <f>-26+32</f>
        <v>6</v>
      </c>
      <c r="BG75" s="143">
        <f>3+3</f>
        <v>6</v>
      </c>
      <c r="BH75" s="13">
        <f t="shared" si="68"/>
        <v>6</v>
      </c>
      <c r="BI75" s="62"/>
      <c r="BJ75" s="143"/>
      <c r="BK75" s="13">
        <f t="shared" si="69"/>
        <v>6</v>
      </c>
      <c r="BL75" s="62"/>
      <c r="BM75" s="143">
        <f>2+4</f>
        <v>6</v>
      </c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>
        <f>-31+32</f>
        <v>1</v>
      </c>
      <c r="CN75" s="143"/>
      <c r="CO75" s="13">
        <f t="shared" si="41"/>
        <v>1</v>
      </c>
      <c r="CP75" s="62"/>
      <c r="CQ75" s="143"/>
      <c r="CR75" s="13">
        <f t="shared" si="48"/>
        <v>1</v>
      </c>
      <c r="CS75" s="62"/>
      <c r="CT75" s="143"/>
      <c r="CU75" s="14">
        <f t="shared" si="42"/>
        <v>1</v>
      </c>
      <c r="CV75" s="5">
        <f t="shared" si="43"/>
        <v>90</v>
      </c>
      <c r="CW75" s="4">
        <f t="shared" si="43"/>
        <v>98</v>
      </c>
      <c r="CX75" s="6">
        <f t="shared" si="44"/>
        <v>1</v>
      </c>
      <c r="CY75" s="162">
        <v>650</v>
      </c>
      <c r="CZ75" s="171">
        <f t="shared" si="45"/>
        <v>650</v>
      </c>
      <c r="DB75" s="2">
        <f t="shared" si="49"/>
        <v>1</v>
      </c>
      <c r="DC75" s="62"/>
      <c r="DD75" s="143"/>
      <c r="DE75" s="149">
        <f t="shared" si="50"/>
        <v>1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2"/>
      <c r="AL76" s="143"/>
      <c r="AM76" s="13">
        <f t="shared" si="61"/>
        <v>0</v>
      </c>
      <c r="AN76" s="62"/>
      <c r="AO76" s="143"/>
      <c r="AP76" s="13">
        <f t="shared" si="62"/>
        <v>0</v>
      </c>
      <c r="AQ76" s="62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>
        <f>-16+20</f>
        <v>4</v>
      </c>
      <c r="BM76" s="143"/>
      <c r="BN76" s="13">
        <f t="shared" si="70"/>
        <v>4</v>
      </c>
      <c r="BO76" s="62">
        <f>-5+12</f>
        <v>7</v>
      </c>
      <c r="BP76" s="143">
        <f>1+3</f>
        <v>4</v>
      </c>
      <c r="BQ76" s="13">
        <f t="shared" si="71"/>
        <v>7</v>
      </c>
      <c r="BR76" s="62">
        <f>-31+57</f>
        <v>26</v>
      </c>
      <c r="BS76" s="143">
        <f>5+2</f>
        <v>7</v>
      </c>
      <c r="BT76" s="13">
        <f t="shared" si="37"/>
        <v>26</v>
      </c>
      <c r="BU76" s="62"/>
      <c r="BV76" s="143"/>
      <c r="BW76" s="13">
        <f t="shared" si="72"/>
        <v>26</v>
      </c>
      <c r="BX76" s="62"/>
      <c r="BY76" s="143">
        <f>5+15+3+1</f>
        <v>24</v>
      </c>
      <c r="BZ76" s="13">
        <f t="shared" si="38"/>
        <v>2</v>
      </c>
      <c r="CA76" s="62">
        <f>-25+28</f>
        <v>3</v>
      </c>
      <c r="CB76" s="143">
        <v>2</v>
      </c>
      <c r="CC76" s="13">
        <f t="shared" si="39"/>
        <v>3</v>
      </c>
      <c r="CD76" s="62"/>
      <c r="CE76" s="143"/>
      <c r="CF76" s="13">
        <f t="shared" si="40"/>
        <v>3</v>
      </c>
      <c r="CG76" s="62">
        <f>-16+20</f>
        <v>4</v>
      </c>
      <c r="CH76" s="143">
        <f>1+2</f>
        <v>3</v>
      </c>
      <c r="CI76" s="13">
        <f t="shared" si="46"/>
        <v>4</v>
      </c>
      <c r="CJ76" s="62">
        <f>-11+20</f>
        <v>9</v>
      </c>
      <c r="CK76" s="143">
        <f>1+3</f>
        <v>4</v>
      </c>
      <c r="CL76" s="13">
        <f t="shared" si="47"/>
        <v>9</v>
      </c>
      <c r="CM76" s="62"/>
      <c r="CN76" s="143">
        <f>4+5</f>
        <v>9</v>
      </c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53</v>
      </c>
      <c r="CW76" s="4">
        <f t="shared" si="43"/>
        <v>53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13</v>
      </c>
      <c r="G77" s="62"/>
      <c r="H77" s="143"/>
      <c r="I77" s="13">
        <f>F77+G77-H77</f>
        <v>13</v>
      </c>
      <c r="J77" s="62"/>
      <c r="K77" s="143"/>
      <c r="L77" s="13">
        <f t="shared" si="52"/>
        <v>13</v>
      </c>
      <c r="M77" s="62"/>
      <c r="N77" s="143"/>
      <c r="O77" s="13">
        <f t="shared" si="53"/>
        <v>13</v>
      </c>
      <c r="P77" s="62">
        <v>36</v>
      </c>
      <c r="Q77" s="143">
        <f>10+3+7+19+1</f>
        <v>40</v>
      </c>
      <c r="R77" s="30">
        <f t="shared" si="54"/>
        <v>9</v>
      </c>
      <c r="S77" s="62">
        <v>36</v>
      </c>
      <c r="T77" s="143">
        <f>10+1+7</f>
        <v>18</v>
      </c>
      <c r="U77" s="13">
        <f>R77+S77-T77</f>
        <v>27</v>
      </c>
      <c r="V77" s="62"/>
      <c r="W77" s="143">
        <f>18+3</f>
        <v>21</v>
      </c>
      <c r="X77" s="13">
        <f t="shared" si="56"/>
        <v>6</v>
      </c>
      <c r="Y77" s="62">
        <v>36</v>
      </c>
      <c r="Z77" s="143">
        <f>10+1+1+7</f>
        <v>19</v>
      </c>
      <c r="AA77" s="13">
        <f t="shared" si="57"/>
        <v>23</v>
      </c>
      <c r="AB77" s="62"/>
      <c r="AC77" s="143"/>
      <c r="AD77" s="13">
        <f t="shared" si="58"/>
        <v>23</v>
      </c>
      <c r="AE77" s="62"/>
      <c r="AF77" s="143"/>
      <c r="AG77" s="13">
        <f t="shared" si="59"/>
        <v>23</v>
      </c>
      <c r="AH77" s="62">
        <v>36</v>
      </c>
      <c r="AI77" s="143">
        <f>3+22+1</f>
        <v>26</v>
      </c>
      <c r="AJ77" s="13">
        <f t="shared" si="60"/>
        <v>33</v>
      </c>
      <c r="AK77" s="62"/>
      <c r="AL77" s="143">
        <f>12+6</f>
        <v>18</v>
      </c>
      <c r="AM77" s="13">
        <f t="shared" si="61"/>
        <v>15</v>
      </c>
      <c r="AN77" s="62">
        <f>-2-11+36</f>
        <v>23</v>
      </c>
      <c r="AO77" s="143">
        <f>10+5</f>
        <v>15</v>
      </c>
      <c r="AP77" s="13">
        <f t="shared" si="62"/>
        <v>23</v>
      </c>
      <c r="AQ77" s="62"/>
      <c r="AR77" s="143">
        <f>7+4</f>
        <v>11</v>
      </c>
      <c r="AS77" s="13">
        <f t="shared" si="63"/>
        <v>12</v>
      </c>
      <c r="AT77" s="62">
        <f>-3+36</f>
        <v>33</v>
      </c>
      <c r="AU77" s="143">
        <f>10+1+1</f>
        <v>12</v>
      </c>
      <c r="AV77" s="13">
        <f t="shared" si="64"/>
        <v>33</v>
      </c>
      <c r="AW77" s="62"/>
      <c r="AX77" s="143">
        <f>7</f>
        <v>7</v>
      </c>
      <c r="AY77" s="13">
        <f t="shared" si="65"/>
        <v>26</v>
      </c>
      <c r="AZ77" s="62"/>
      <c r="BA77" s="143"/>
      <c r="BB77" s="13">
        <f t="shared" si="66"/>
        <v>26</v>
      </c>
      <c r="BC77" s="62">
        <v>36</v>
      </c>
      <c r="BD77" s="143">
        <f>3+16+7</f>
        <v>26</v>
      </c>
      <c r="BE77" s="13">
        <f t="shared" si="67"/>
        <v>36</v>
      </c>
      <c r="BF77" s="62"/>
      <c r="BG77" s="143">
        <f>1+10+3</f>
        <v>14</v>
      </c>
      <c r="BH77" s="13">
        <f t="shared" si="68"/>
        <v>22</v>
      </c>
      <c r="BI77" s="62">
        <f>-7+36</f>
        <v>29</v>
      </c>
      <c r="BJ77" s="143">
        <f>10+8+4</f>
        <v>22</v>
      </c>
      <c r="BK77" s="13">
        <f t="shared" si="69"/>
        <v>29</v>
      </c>
      <c r="BL77" s="62"/>
      <c r="BM77" s="143">
        <f>18+1</f>
        <v>19</v>
      </c>
      <c r="BN77" s="13">
        <f t="shared" si="70"/>
        <v>10</v>
      </c>
      <c r="BO77" s="62">
        <f>-2-1+36</f>
        <v>33</v>
      </c>
      <c r="BP77" s="143">
        <f>8</f>
        <v>8</v>
      </c>
      <c r="BQ77" s="13">
        <f t="shared" si="71"/>
        <v>35</v>
      </c>
      <c r="BR77" s="62"/>
      <c r="BS77" s="143"/>
      <c r="BT77" s="13">
        <f t="shared" si="37"/>
        <v>35</v>
      </c>
      <c r="BU77" s="62"/>
      <c r="BV77" s="143"/>
      <c r="BW77" s="13">
        <f t="shared" si="72"/>
        <v>35</v>
      </c>
      <c r="BX77" s="62"/>
      <c r="BY77" s="143"/>
      <c r="BZ77" s="13">
        <f t="shared" si="38"/>
        <v>35</v>
      </c>
      <c r="CA77" s="62">
        <v>36</v>
      </c>
      <c r="CB77" s="143">
        <f>2+7+22+7</f>
        <v>38</v>
      </c>
      <c r="CC77" s="13">
        <f t="shared" si="39"/>
        <v>33</v>
      </c>
      <c r="CD77" s="62"/>
      <c r="CE77" s="143">
        <f>10+2</f>
        <v>12</v>
      </c>
      <c r="CF77" s="13">
        <f t="shared" si="40"/>
        <v>21</v>
      </c>
      <c r="CG77" s="62">
        <v>36</v>
      </c>
      <c r="CH77" s="143">
        <f>10+3</f>
        <v>13</v>
      </c>
      <c r="CI77" s="13">
        <f t="shared" si="46"/>
        <v>44</v>
      </c>
      <c r="CJ77" s="62"/>
      <c r="CK77" s="143">
        <f>9+1+1</f>
        <v>11</v>
      </c>
      <c r="CL77" s="13">
        <f t="shared" si="47"/>
        <v>33</v>
      </c>
      <c r="CM77" s="62"/>
      <c r="CN77" s="143">
        <f>10</f>
        <v>10</v>
      </c>
      <c r="CO77" s="13">
        <f t="shared" si="41"/>
        <v>23</v>
      </c>
      <c r="CP77" s="62"/>
      <c r="CQ77" s="143"/>
      <c r="CR77" s="13">
        <f t="shared" si="48"/>
        <v>23</v>
      </c>
      <c r="CS77" s="62"/>
      <c r="CT77" s="143"/>
      <c r="CU77" s="14">
        <f t="shared" si="42"/>
        <v>23</v>
      </c>
      <c r="CV77" s="5">
        <f t="shared" si="43"/>
        <v>370</v>
      </c>
      <c r="CW77" s="4">
        <f t="shared" si="43"/>
        <v>360</v>
      </c>
      <c r="CX77" s="6">
        <f t="shared" si="44"/>
        <v>23</v>
      </c>
      <c r="CY77" s="162">
        <v>205</v>
      </c>
      <c r="CZ77" s="171">
        <f t="shared" si="45"/>
        <v>4715</v>
      </c>
      <c r="DB77" s="2">
        <f t="shared" si="49"/>
        <v>23</v>
      </c>
      <c r="DC77" s="62"/>
      <c r="DD77" s="143"/>
      <c r="DE77" s="149">
        <f t="shared" si="50"/>
        <v>23</v>
      </c>
    </row>
    <row r="78" spans="1:109" ht="15.75" customHeight="1">
      <c r="A78" s="33"/>
      <c r="B78" s="3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119</v>
      </c>
      <c r="C79" s="104" t="s">
        <v>27</v>
      </c>
      <c r="D79" s="37"/>
      <c r="E79" s="37">
        <v>6</v>
      </c>
      <c r="F79" s="14">
        <v>0</v>
      </c>
      <c r="G79" s="62"/>
      <c r="H79" s="143"/>
      <c r="I79" s="13">
        <f t="shared" ref="I79:I94" si="73">F79+G79-H79</f>
        <v>0</v>
      </c>
      <c r="J79" s="62"/>
      <c r="K79" s="143"/>
      <c r="L79" s="13">
        <f t="shared" ref="L79:L94" si="74">I79+J79-K79</f>
        <v>0</v>
      </c>
      <c r="M79" s="62"/>
      <c r="N79" s="143"/>
      <c r="O79" s="13">
        <f t="shared" ref="O79:O94" si="75">L79+M79-N79</f>
        <v>0</v>
      </c>
      <c r="P79" s="62"/>
      <c r="Q79" s="143"/>
      <c r="R79" s="30">
        <f t="shared" ref="R79:R94" si="76">O79+P79-Q79</f>
        <v>0</v>
      </c>
      <c r="S79" s="62"/>
      <c r="T79" s="143"/>
      <c r="U79" s="13">
        <f t="shared" ref="U79:U94" si="77">R79+S79-T79</f>
        <v>0</v>
      </c>
      <c r="V79" s="62"/>
      <c r="W79" s="143"/>
      <c r="X79" s="13">
        <f t="shared" ref="X79:X94" si="78">U79+V79-W79</f>
        <v>0</v>
      </c>
      <c r="Y79" s="62"/>
      <c r="Z79" s="143"/>
      <c r="AA79" s="13">
        <f t="shared" ref="AA79:AA84" si="79">X79+Y79-Z79</f>
        <v>0</v>
      </c>
      <c r="AB79" s="62"/>
      <c r="AC79" s="143"/>
      <c r="AD79" s="13">
        <f t="shared" ref="AD79:AD94" si="80">AA79+AB79-AC79</f>
        <v>0</v>
      </c>
      <c r="AE79" s="62"/>
      <c r="AF79" s="143"/>
      <c r="AG79" s="13">
        <f t="shared" ref="AG79:AG94" si="81">AD79+AE79-AF79</f>
        <v>0</v>
      </c>
      <c r="AH79" s="62"/>
      <c r="AI79" s="143"/>
      <c r="AJ79" s="13">
        <f t="shared" ref="AJ79:AJ94" si="82">AG79+AH79-AI79</f>
        <v>0</v>
      </c>
      <c r="AK79" s="62"/>
      <c r="AL79" s="143"/>
      <c r="AM79" s="13">
        <f t="shared" ref="AM79:AM94" si="83">AJ79+AK79-AL79</f>
        <v>0</v>
      </c>
      <c r="AN79" s="62"/>
      <c r="AO79" s="143"/>
      <c r="AP79" s="13">
        <f t="shared" ref="AP79:AP94" si="84">AM79+AN79-AO79</f>
        <v>0</v>
      </c>
      <c r="AQ79" s="62"/>
      <c r="AR79" s="143"/>
      <c r="AS79" s="13">
        <f t="shared" ref="AS79:AS94" si="85">AP79+AQ79-AR79</f>
        <v>0</v>
      </c>
      <c r="AT79" s="62"/>
      <c r="AU79" s="143"/>
      <c r="AV79" s="13">
        <f t="shared" ref="AV79:AV94" si="86">AS79+AT79-AU79</f>
        <v>0</v>
      </c>
      <c r="AW79" s="62"/>
      <c r="AX79" s="143"/>
      <c r="AY79" s="13">
        <f t="shared" ref="AY79:AY94" si="87">AV79+AW79-AX79</f>
        <v>0</v>
      </c>
      <c r="AZ79" s="62"/>
      <c r="BA79" s="143"/>
      <c r="BB79" s="13">
        <f t="shared" ref="BB79:BB94" si="88">AY79+AZ79-BA79</f>
        <v>0</v>
      </c>
      <c r="BC79" s="62"/>
      <c r="BD79" s="143"/>
      <c r="BE79" s="13">
        <f t="shared" ref="BE79:BE94" si="89">BB79+BC79-BD79</f>
        <v>0</v>
      </c>
      <c r="BF79" s="62"/>
      <c r="BG79" s="143"/>
      <c r="BH79" s="13">
        <f t="shared" ref="BH79:BH94" si="90">BE79+BF79-BG79</f>
        <v>0</v>
      </c>
      <c r="BI79" s="62"/>
      <c r="BJ79" s="143"/>
      <c r="BK79" s="13">
        <f t="shared" ref="BK79:BK94" si="91">BH79+BI79-BJ79</f>
        <v>0</v>
      </c>
      <c r="BL79" s="62">
        <v>6</v>
      </c>
      <c r="BM79" s="143"/>
      <c r="BN79" s="13">
        <f t="shared" ref="BN79:BN94" si="92">BK79+BL79-BM79</f>
        <v>6</v>
      </c>
      <c r="BO79" s="62"/>
      <c r="BP79" s="143">
        <v>3</v>
      </c>
      <c r="BQ79" s="13">
        <f t="shared" ref="BQ79:BQ94" si="93">BN79+BO79-BP79</f>
        <v>3</v>
      </c>
      <c r="BR79" s="62"/>
      <c r="BS79" s="143"/>
      <c r="BT79" s="13">
        <f t="shared" si="37"/>
        <v>3</v>
      </c>
      <c r="BU79" s="62"/>
      <c r="BV79" s="143"/>
      <c r="BW79" s="13">
        <f t="shared" ref="BW79:BW94" si="94">BT79+BU79-BV79</f>
        <v>3</v>
      </c>
      <c r="BX79" s="62"/>
      <c r="BY79" s="143"/>
      <c r="BZ79" s="13">
        <f t="shared" si="38"/>
        <v>3</v>
      </c>
      <c r="CA79" s="62"/>
      <c r="CB79" s="143"/>
      <c r="CC79" s="13">
        <f t="shared" si="39"/>
        <v>3</v>
      </c>
      <c r="CD79" s="62"/>
      <c r="CE79" s="143"/>
      <c r="CF79" s="13">
        <f t="shared" si="40"/>
        <v>3</v>
      </c>
      <c r="CG79" s="62"/>
      <c r="CH79" s="143">
        <v>3</v>
      </c>
      <c r="CI79" s="13">
        <f t="shared" si="46"/>
        <v>0</v>
      </c>
      <c r="CJ79" s="62">
        <v>6</v>
      </c>
      <c r="CK79" s="143">
        <v>4</v>
      </c>
      <c r="CL79" s="13">
        <f t="shared" si="47"/>
        <v>2</v>
      </c>
      <c r="CM79" s="62"/>
      <c r="CN79" s="143"/>
      <c r="CO79" s="13">
        <f t="shared" si="41"/>
        <v>2</v>
      </c>
      <c r="CP79" s="62"/>
      <c r="CQ79" s="143"/>
      <c r="CR79" s="13">
        <f t="shared" si="48"/>
        <v>2</v>
      </c>
      <c r="CS79" s="62"/>
      <c r="CT79" s="143"/>
      <c r="CU79" s="14">
        <f t="shared" si="42"/>
        <v>2</v>
      </c>
      <c r="CV79" s="5">
        <f t="shared" si="43"/>
        <v>12</v>
      </c>
      <c r="CW79" s="4">
        <f t="shared" si="43"/>
        <v>10</v>
      </c>
      <c r="CX79" s="6">
        <f t="shared" ref="CX79:CX94" si="95">CU79</f>
        <v>2</v>
      </c>
      <c r="CY79" s="162">
        <v>3050</v>
      </c>
      <c r="CZ79" s="171">
        <f t="shared" si="45"/>
        <v>6100</v>
      </c>
      <c r="DB79" s="2">
        <f t="shared" si="49"/>
        <v>2</v>
      </c>
      <c r="DC79" s="62"/>
      <c r="DD79" s="143"/>
      <c r="DE79" s="149">
        <f t="shared" si="50"/>
        <v>2</v>
      </c>
    </row>
    <row r="80" spans="1:109" ht="15.75" customHeight="1">
      <c r="A80" s="33"/>
      <c r="B80" s="3" t="s">
        <v>335</v>
      </c>
      <c r="C80" s="104" t="s">
        <v>27</v>
      </c>
      <c r="D80" s="37"/>
      <c r="E80" s="37">
        <v>6</v>
      </c>
      <c r="F80" s="14">
        <v>0</v>
      </c>
      <c r="G80" s="62"/>
      <c r="H80" s="143"/>
      <c r="I80" s="13">
        <f t="shared" si="73"/>
        <v>0</v>
      </c>
      <c r="J80" s="62"/>
      <c r="K80" s="143"/>
      <c r="L80" s="13">
        <f t="shared" si="74"/>
        <v>0</v>
      </c>
      <c r="M80" s="62"/>
      <c r="N80" s="143"/>
      <c r="O80" s="13">
        <f t="shared" si="75"/>
        <v>0</v>
      </c>
      <c r="P80" s="62"/>
      <c r="Q80" s="143"/>
      <c r="R80" s="30">
        <f t="shared" si="76"/>
        <v>0</v>
      </c>
      <c r="S80" s="62"/>
      <c r="T80" s="143"/>
      <c r="U80" s="13">
        <f t="shared" si="77"/>
        <v>0</v>
      </c>
      <c r="V80" s="62">
        <v>12</v>
      </c>
      <c r="W80" s="143"/>
      <c r="X80" s="30">
        <f t="shared" si="78"/>
        <v>12</v>
      </c>
      <c r="Y80" s="62"/>
      <c r="Z80" s="143">
        <f>4+3</f>
        <v>7</v>
      </c>
      <c r="AA80" s="13">
        <f t="shared" si="79"/>
        <v>5</v>
      </c>
      <c r="AB80" s="62"/>
      <c r="AC80" s="143"/>
      <c r="AD80" s="13">
        <f t="shared" si="80"/>
        <v>5</v>
      </c>
      <c r="AE80" s="62"/>
      <c r="AF80" s="143"/>
      <c r="AG80" s="13">
        <f t="shared" si="81"/>
        <v>5</v>
      </c>
      <c r="AH80" s="62"/>
      <c r="AI80" s="143"/>
      <c r="AJ80" s="13">
        <f t="shared" si="82"/>
        <v>5</v>
      </c>
      <c r="AK80" s="62"/>
      <c r="AL80" s="143"/>
      <c r="AM80" s="13">
        <f t="shared" si="83"/>
        <v>5</v>
      </c>
      <c r="AN80" s="62"/>
      <c r="AO80" s="143"/>
      <c r="AP80" s="13">
        <f t="shared" si="84"/>
        <v>5</v>
      </c>
      <c r="AQ80" s="62">
        <v>6</v>
      </c>
      <c r="AR80" s="143"/>
      <c r="AS80" s="13">
        <f t="shared" si="85"/>
        <v>11</v>
      </c>
      <c r="AT80" s="62"/>
      <c r="AU80" s="143">
        <f>4+1+2</f>
        <v>7</v>
      </c>
      <c r="AV80" s="13">
        <f t="shared" si="86"/>
        <v>4</v>
      </c>
      <c r="AW80" s="62"/>
      <c r="AX80" s="143"/>
      <c r="AY80" s="13">
        <f t="shared" si="87"/>
        <v>4</v>
      </c>
      <c r="AZ80" s="62"/>
      <c r="BA80" s="143"/>
      <c r="BB80" s="13">
        <f t="shared" si="88"/>
        <v>4</v>
      </c>
      <c r="BC80" s="62"/>
      <c r="BD80" s="143"/>
      <c r="BE80" s="13">
        <f t="shared" si="89"/>
        <v>4</v>
      </c>
      <c r="BF80" s="62"/>
      <c r="BG80" s="143"/>
      <c r="BH80" s="13">
        <f t="shared" si="90"/>
        <v>4</v>
      </c>
      <c r="BI80" s="62"/>
      <c r="BJ80" s="143"/>
      <c r="BK80" s="13">
        <f t="shared" si="91"/>
        <v>4</v>
      </c>
      <c r="BL80" s="62">
        <v>6</v>
      </c>
      <c r="BM80" s="143"/>
      <c r="BN80" s="13">
        <f t="shared" si="92"/>
        <v>10</v>
      </c>
      <c r="BO80" s="62">
        <v>3</v>
      </c>
      <c r="BP80" s="143">
        <f>4</f>
        <v>4</v>
      </c>
      <c r="BQ80" s="13">
        <f t="shared" si="93"/>
        <v>9</v>
      </c>
      <c r="BR80" s="62"/>
      <c r="BS80" s="143"/>
      <c r="BT80" s="13">
        <f t="shared" si="37"/>
        <v>9</v>
      </c>
      <c r="BU80" s="62"/>
      <c r="BV80" s="143"/>
      <c r="BW80" s="13">
        <f t="shared" si="94"/>
        <v>9</v>
      </c>
      <c r="BX80" s="62"/>
      <c r="BY80" s="143"/>
      <c r="BZ80" s="13">
        <f t="shared" si="38"/>
        <v>9</v>
      </c>
      <c r="CA80" s="62"/>
      <c r="CB80" s="143"/>
      <c r="CC80" s="13">
        <f t="shared" si="39"/>
        <v>9</v>
      </c>
      <c r="CD80" s="62"/>
      <c r="CE80" s="143"/>
      <c r="CF80" s="13">
        <f t="shared" si="40"/>
        <v>9</v>
      </c>
      <c r="CG80" s="62"/>
      <c r="CH80" s="143"/>
      <c r="CI80" s="13">
        <f t="shared" si="46"/>
        <v>9</v>
      </c>
      <c r="CJ80" s="62"/>
      <c r="CK80" s="143">
        <f>4</f>
        <v>4</v>
      </c>
      <c r="CL80" s="13">
        <f t="shared" si="47"/>
        <v>5</v>
      </c>
      <c r="CM80" s="62"/>
      <c r="CN80" s="143"/>
      <c r="CO80" s="13">
        <f t="shared" si="41"/>
        <v>5</v>
      </c>
      <c r="CP80" s="62"/>
      <c r="CQ80" s="143"/>
      <c r="CR80" s="13">
        <f t="shared" si="48"/>
        <v>5</v>
      </c>
      <c r="CS80" s="62"/>
      <c r="CT80" s="143"/>
      <c r="CU80" s="14">
        <f t="shared" si="42"/>
        <v>5</v>
      </c>
      <c r="CV80" s="5">
        <f t="shared" si="43"/>
        <v>27</v>
      </c>
      <c r="CW80" s="4">
        <f t="shared" si="43"/>
        <v>22</v>
      </c>
      <c r="CX80" s="6">
        <f t="shared" si="95"/>
        <v>5</v>
      </c>
      <c r="CY80" s="162">
        <v>3050</v>
      </c>
      <c r="CZ80" s="171">
        <f t="shared" si="45"/>
        <v>15250</v>
      </c>
      <c r="DB80" s="2">
        <f t="shared" si="49"/>
        <v>5</v>
      </c>
      <c r="DC80" s="62"/>
      <c r="DD80" s="143"/>
      <c r="DE80" s="149">
        <f t="shared" si="50"/>
        <v>5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87</v>
      </c>
      <c r="G81" s="62"/>
      <c r="H81" s="143">
        <v>10</v>
      </c>
      <c r="I81" s="13">
        <f t="shared" si="73"/>
        <v>77</v>
      </c>
      <c r="J81" s="62"/>
      <c r="K81" s="143"/>
      <c r="L81" s="13">
        <f t="shared" si="74"/>
        <v>77</v>
      </c>
      <c r="M81" s="62"/>
      <c r="N81" s="143">
        <v>5</v>
      </c>
      <c r="O81" s="13">
        <f t="shared" si="75"/>
        <v>72</v>
      </c>
      <c r="P81" s="62"/>
      <c r="Q81" s="143">
        <v>7</v>
      </c>
      <c r="R81" s="13">
        <f t="shared" si="76"/>
        <v>65</v>
      </c>
      <c r="S81" s="62"/>
      <c r="T81" s="143"/>
      <c r="U81" s="13">
        <f t="shared" si="77"/>
        <v>65</v>
      </c>
      <c r="V81" s="62">
        <v>29</v>
      </c>
      <c r="W81" s="143">
        <v>5</v>
      </c>
      <c r="X81" s="13">
        <f t="shared" si="78"/>
        <v>89</v>
      </c>
      <c r="Y81" s="62"/>
      <c r="Z81" s="143">
        <v>4</v>
      </c>
      <c r="AA81" s="13">
        <f t="shared" si="79"/>
        <v>85</v>
      </c>
      <c r="AB81" s="62"/>
      <c r="AC81" s="143">
        <v>10</v>
      </c>
      <c r="AD81" s="13">
        <f t="shared" si="80"/>
        <v>75</v>
      </c>
      <c r="AE81" s="62"/>
      <c r="AF81" s="143"/>
      <c r="AG81" s="13">
        <f t="shared" si="81"/>
        <v>75</v>
      </c>
      <c r="AH81" s="62"/>
      <c r="AI81" s="143">
        <v>5</v>
      </c>
      <c r="AJ81" s="13">
        <f t="shared" si="82"/>
        <v>70</v>
      </c>
      <c r="AK81" s="62"/>
      <c r="AL81" s="143">
        <v>3</v>
      </c>
      <c r="AM81" s="13">
        <f t="shared" si="83"/>
        <v>67</v>
      </c>
      <c r="AN81" s="62"/>
      <c r="AO81" s="143"/>
      <c r="AP81" s="13">
        <f t="shared" si="84"/>
        <v>67</v>
      </c>
      <c r="AQ81" s="62"/>
      <c r="AR81" s="143">
        <v>8</v>
      </c>
      <c r="AS81" s="13">
        <f t="shared" si="85"/>
        <v>59</v>
      </c>
      <c r="AT81" s="62">
        <v>28</v>
      </c>
      <c r="AU81" s="143">
        <v>3</v>
      </c>
      <c r="AV81" s="13">
        <f t="shared" si="86"/>
        <v>84</v>
      </c>
      <c r="AW81" s="62"/>
      <c r="AX81" s="143">
        <v>8</v>
      </c>
      <c r="AY81" s="13">
        <f t="shared" si="87"/>
        <v>76</v>
      </c>
      <c r="AZ81" s="62"/>
      <c r="BA81" s="143"/>
      <c r="BB81" s="13">
        <f t="shared" si="88"/>
        <v>76</v>
      </c>
      <c r="BC81" s="62"/>
      <c r="BD81" s="143">
        <v>1</v>
      </c>
      <c r="BE81" s="13">
        <f t="shared" si="89"/>
        <v>75</v>
      </c>
      <c r="BF81" s="62"/>
      <c r="BG81" s="143">
        <v>6</v>
      </c>
      <c r="BH81" s="13">
        <f t="shared" si="90"/>
        <v>69</v>
      </c>
      <c r="BI81" s="62"/>
      <c r="BJ81" s="143"/>
      <c r="BK81" s="13">
        <f t="shared" si="91"/>
        <v>69</v>
      </c>
      <c r="BL81" s="62"/>
      <c r="BM81" s="143">
        <v>3</v>
      </c>
      <c r="BN81" s="13">
        <f t="shared" si="92"/>
        <v>66</v>
      </c>
      <c r="BO81" s="62"/>
      <c r="BP81" s="143">
        <v>4</v>
      </c>
      <c r="BQ81" s="13">
        <f t="shared" si="93"/>
        <v>62</v>
      </c>
      <c r="BR81" s="62"/>
      <c r="BS81" s="143">
        <v>10</v>
      </c>
      <c r="BT81" s="13">
        <f t="shared" si="37"/>
        <v>52</v>
      </c>
      <c r="BU81" s="62"/>
      <c r="BV81" s="143"/>
      <c r="BW81" s="13">
        <f t="shared" si="94"/>
        <v>52</v>
      </c>
      <c r="BX81" s="62"/>
      <c r="BY81" s="143">
        <v>4</v>
      </c>
      <c r="BZ81" s="13">
        <f t="shared" si="38"/>
        <v>48</v>
      </c>
      <c r="CA81" s="62"/>
      <c r="CB81" s="143">
        <v>5</v>
      </c>
      <c r="CC81" s="13">
        <f t="shared" si="39"/>
        <v>43</v>
      </c>
      <c r="CD81" s="62"/>
      <c r="CE81" s="143"/>
      <c r="CF81" s="13">
        <f t="shared" si="40"/>
        <v>43</v>
      </c>
      <c r="CG81" s="62">
        <v>28</v>
      </c>
      <c r="CH81" s="143">
        <v>3</v>
      </c>
      <c r="CI81" s="13">
        <f t="shared" si="46"/>
        <v>68</v>
      </c>
      <c r="CJ81" s="62"/>
      <c r="CK81" s="143">
        <v>3</v>
      </c>
      <c r="CL81" s="13">
        <f t="shared" si="47"/>
        <v>65</v>
      </c>
      <c r="CM81" s="62"/>
      <c r="CN81" s="143">
        <v>10</v>
      </c>
      <c r="CO81" s="13">
        <f t="shared" si="41"/>
        <v>55</v>
      </c>
      <c r="CP81" s="62"/>
      <c r="CQ81" s="143"/>
      <c r="CR81" s="13">
        <f t="shared" si="48"/>
        <v>55</v>
      </c>
      <c r="CS81" s="62"/>
      <c r="CT81" s="143"/>
      <c r="CU81" s="14">
        <f t="shared" si="42"/>
        <v>55</v>
      </c>
      <c r="CV81" s="5">
        <f t="shared" si="43"/>
        <v>85</v>
      </c>
      <c r="CW81" s="4">
        <f t="shared" si="43"/>
        <v>117</v>
      </c>
      <c r="CX81" s="6">
        <f t="shared" si="95"/>
        <v>55</v>
      </c>
      <c r="CY81" s="162"/>
      <c r="CZ81" s="171">
        <f t="shared" si="45"/>
        <v>0</v>
      </c>
      <c r="DB81" s="2">
        <f t="shared" si="49"/>
        <v>55</v>
      </c>
      <c r="DC81" s="62"/>
      <c r="DD81" s="143"/>
      <c r="DE81" s="149">
        <f t="shared" si="50"/>
        <v>55</v>
      </c>
    </row>
    <row r="82" spans="1:109" ht="15.75" customHeight="1">
      <c r="A82" s="33"/>
      <c r="B82" s="42" t="s">
        <v>326</v>
      </c>
      <c r="C82" s="112" t="s">
        <v>51</v>
      </c>
      <c r="D82" s="43"/>
      <c r="E82" s="34">
        <v>10</v>
      </c>
      <c r="F82" s="14">
        <v>23</v>
      </c>
      <c r="G82" s="62"/>
      <c r="H82" s="143">
        <v>1</v>
      </c>
      <c r="I82" s="13">
        <f t="shared" ref="I82" si="96">F82+G82-H82</f>
        <v>22</v>
      </c>
      <c r="J82" s="62"/>
      <c r="K82" s="143"/>
      <c r="L82" s="13">
        <f t="shared" ref="L82" si="97">I82+J82-K82</f>
        <v>22</v>
      </c>
      <c r="M82" s="62"/>
      <c r="N82" s="143">
        <v>5</v>
      </c>
      <c r="O82" s="13">
        <f t="shared" ref="O82" si="98">L82+M82-N82</f>
        <v>17</v>
      </c>
      <c r="P82" s="62"/>
      <c r="Q82" s="143">
        <v>5</v>
      </c>
      <c r="R82" s="13">
        <f t="shared" ref="R82" si="99">O82+P82-Q82</f>
        <v>12</v>
      </c>
      <c r="S82" s="62"/>
      <c r="T82" s="143"/>
      <c r="U82" s="13">
        <f t="shared" ref="U82" si="100">R82+S82-T82</f>
        <v>12</v>
      </c>
      <c r="V82" s="62">
        <v>10</v>
      </c>
      <c r="W82" s="143">
        <v>1</v>
      </c>
      <c r="X82" s="13">
        <f t="shared" ref="X82" si="101">U82+V82-W82</f>
        <v>21</v>
      </c>
      <c r="Y82" s="62"/>
      <c r="Z82" s="143">
        <v>1</v>
      </c>
      <c r="AA82" s="13">
        <f t="shared" ref="AA82" si="102">X82+Y82-Z82</f>
        <v>20</v>
      </c>
      <c r="AB82" s="62"/>
      <c r="AC82" s="143">
        <v>3</v>
      </c>
      <c r="AD82" s="13">
        <f t="shared" ref="AD82" si="103">AA82+AB82-AC82</f>
        <v>17</v>
      </c>
      <c r="AE82" s="62"/>
      <c r="AF82" s="143"/>
      <c r="AG82" s="13">
        <f t="shared" ref="AG82" si="104">AD82+AE82-AF82</f>
        <v>17</v>
      </c>
      <c r="AH82" s="62"/>
      <c r="AI82" s="143"/>
      <c r="AJ82" s="13">
        <f t="shared" ref="AJ82" si="105">AG82+AH82-AI82</f>
        <v>17</v>
      </c>
      <c r="AK82" s="62"/>
      <c r="AL82" s="143">
        <v>3</v>
      </c>
      <c r="AM82" s="13">
        <f t="shared" ref="AM82" si="106">AJ82+AK82-AL82</f>
        <v>14</v>
      </c>
      <c r="AN82" s="62"/>
      <c r="AO82" s="143"/>
      <c r="AP82" s="13">
        <f t="shared" ref="AP82" si="107">AM82+AN82-AO82</f>
        <v>14</v>
      </c>
      <c r="AQ82" s="62"/>
      <c r="AR82" s="143">
        <v>2</v>
      </c>
      <c r="AS82" s="13">
        <f t="shared" ref="AS82" si="108">AP82+AQ82-AR82</f>
        <v>12</v>
      </c>
      <c r="AT82" s="62">
        <v>10</v>
      </c>
      <c r="AU82" s="143">
        <v>1</v>
      </c>
      <c r="AV82" s="13">
        <f t="shared" si="86"/>
        <v>21</v>
      </c>
      <c r="AW82" s="62"/>
      <c r="AX82" s="143">
        <v>2</v>
      </c>
      <c r="AY82" s="13">
        <f t="shared" si="87"/>
        <v>19</v>
      </c>
      <c r="AZ82" s="62"/>
      <c r="BA82" s="143"/>
      <c r="BB82" s="13">
        <f t="shared" si="88"/>
        <v>19</v>
      </c>
      <c r="BC82" s="62"/>
      <c r="BD82" s="143">
        <v>2</v>
      </c>
      <c r="BE82" s="13">
        <f t="shared" si="89"/>
        <v>17</v>
      </c>
      <c r="BF82" s="62"/>
      <c r="BG82" s="143">
        <v>1</v>
      </c>
      <c r="BH82" s="13">
        <f t="shared" si="90"/>
        <v>16</v>
      </c>
      <c r="BI82" s="62"/>
      <c r="BJ82" s="143"/>
      <c r="BK82" s="13">
        <f t="shared" si="91"/>
        <v>16</v>
      </c>
      <c r="BL82" s="62">
        <v>10</v>
      </c>
      <c r="BM82" s="143">
        <v>3</v>
      </c>
      <c r="BN82" s="13">
        <f t="shared" si="92"/>
        <v>23</v>
      </c>
      <c r="BO82" s="62"/>
      <c r="BP82" s="143"/>
      <c r="BQ82" s="13">
        <f t="shared" si="93"/>
        <v>23</v>
      </c>
      <c r="BR82" s="62"/>
      <c r="BS82" s="143">
        <v>1</v>
      </c>
      <c r="BT82" s="13">
        <f t="shared" si="37"/>
        <v>22</v>
      </c>
      <c r="BU82" s="62"/>
      <c r="BV82" s="143"/>
      <c r="BW82" s="13">
        <f t="shared" si="94"/>
        <v>22</v>
      </c>
      <c r="BX82" s="62"/>
      <c r="BY82" s="143">
        <v>2</v>
      </c>
      <c r="BZ82" s="13">
        <f t="shared" si="38"/>
        <v>20</v>
      </c>
      <c r="CA82" s="62"/>
      <c r="CB82" s="143">
        <v>2</v>
      </c>
      <c r="CC82" s="13">
        <f t="shared" si="39"/>
        <v>18</v>
      </c>
      <c r="CD82" s="62"/>
      <c r="CE82" s="143"/>
      <c r="CF82" s="13">
        <f t="shared" si="40"/>
        <v>18</v>
      </c>
      <c r="CG82" s="62"/>
      <c r="CH82" s="143">
        <v>2</v>
      </c>
      <c r="CI82" s="13">
        <f t="shared" si="46"/>
        <v>16</v>
      </c>
      <c r="CJ82" s="62"/>
      <c r="CK82" s="143"/>
      <c r="CL82" s="13">
        <f t="shared" si="47"/>
        <v>16</v>
      </c>
      <c r="CM82" s="62"/>
      <c r="CN82" s="143">
        <v>2</v>
      </c>
      <c r="CO82" s="13">
        <f t="shared" si="41"/>
        <v>14</v>
      </c>
      <c r="CP82" s="62"/>
      <c r="CQ82" s="143"/>
      <c r="CR82" s="13">
        <f t="shared" si="48"/>
        <v>14</v>
      </c>
      <c r="CS82" s="62"/>
      <c r="CT82" s="143"/>
      <c r="CU82" s="14">
        <f t="shared" si="42"/>
        <v>14</v>
      </c>
      <c r="CV82" s="5">
        <f t="shared" si="43"/>
        <v>30</v>
      </c>
      <c r="CW82" s="4">
        <f t="shared" si="43"/>
        <v>39</v>
      </c>
      <c r="CX82" s="6">
        <f t="shared" si="95"/>
        <v>14</v>
      </c>
      <c r="CY82" s="163"/>
      <c r="CZ82" s="171">
        <f t="shared" si="45"/>
        <v>0</v>
      </c>
      <c r="DB82" s="2">
        <f t="shared" si="49"/>
        <v>14</v>
      </c>
      <c r="DC82" s="62"/>
      <c r="DD82" s="143"/>
      <c r="DE82" s="149">
        <f t="shared" si="50"/>
        <v>14</v>
      </c>
    </row>
    <row r="83" spans="1:109" ht="15.75" customHeight="1">
      <c r="A83" s="33" t="s">
        <v>120</v>
      </c>
      <c r="B83" s="49" t="s">
        <v>121</v>
      </c>
      <c r="C83" s="111" t="s">
        <v>27</v>
      </c>
      <c r="D83" s="52">
        <v>18</v>
      </c>
      <c r="E83" s="53" t="s">
        <v>122</v>
      </c>
      <c r="F83" s="14">
        <v>6</v>
      </c>
      <c r="G83" s="62"/>
      <c r="H83" s="143">
        <v>3</v>
      </c>
      <c r="I83" s="13">
        <f t="shared" si="73"/>
        <v>3</v>
      </c>
      <c r="J83" s="62"/>
      <c r="K83" s="143"/>
      <c r="L83" s="13">
        <f t="shared" si="74"/>
        <v>3</v>
      </c>
      <c r="M83" s="62">
        <v>6</v>
      </c>
      <c r="N83" s="143"/>
      <c r="O83" s="13">
        <f t="shared" si="75"/>
        <v>9</v>
      </c>
      <c r="P83" s="62"/>
      <c r="Q83" s="143">
        <v>2</v>
      </c>
      <c r="R83" s="30">
        <f t="shared" si="76"/>
        <v>7</v>
      </c>
      <c r="S83" s="62"/>
      <c r="T83" s="143"/>
      <c r="U83" s="13">
        <f t="shared" si="77"/>
        <v>7</v>
      </c>
      <c r="V83" s="62">
        <v>6</v>
      </c>
      <c r="W83" s="143">
        <f>1+1</f>
        <v>2</v>
      </c>
      <c r="X83" s="13">
        <f t="shared" si="78"/>
        <v>11</v>
      </c>
      <c r="Y83" s="62"/>
      <c r="Z83" s="143">
        <v>2</v>
      </c>
      <c r="AA83" s="13">
        <f t="shared" si="79"/>
        <v>9</v>
      </c>
      <c r="AB83" s="62">
        <v>6</v>
      </c>
      <c r="AC83" s="143">
        <v>5</v>
      </c>
      <c r="AD83" s="13">
        <f t="shared" si="80"/>
        <v>10</v>
      </c>
      <c r="AE83" s="62"/>
      <c r="AF83" s="143"/>
      <c r="AG83" s="13">
        <f t="shared" si="81"/>
        <v>10</v>
      </c>
      <c r="AH83" s="62"/>
      <c r="AI83" s="143">
        <v>1</v>
      </c>
      <c r="AJ83" s="13">
        <f t="shared" si="82"/>
        <v>9</v>
      </c>
      <c r="AK83" s="62"/>
      <c r="AL83" s="143">
        <v>1</v>
      </c>
      <c r="AM83" s="13">
        <f t="shared" si="83"/>
        <v>8</v>
      </c>
      <c r="AN83" s="62"/>
      <c r="AO83" s="143"/>
      <c r="AP83" s="13">
        <f t="shared" si="84"/>
        <v>8</v>
      </c>
      <c r="AQ83" s="62">
        <v>6</v>
      </c>
      <c r="AR83" s="143">
        <v>2</v>
      </c>
      <c r="AS83" s="13">
        <f t="shared" si="85"/>
        <v>12</v>
      </c>
      <c r="AT83" s="62"/>
      <c r="AU83" s="143">
        <v>1</v>
      </c>
      <c r="AV83" s="13">
        <f t="shared" si="86"/>
        <v>11</v>
      </c>
      <c r="AW83" s="62"/>
      <c r="AX83" s="143">
        <f>1+1</f>
        <v>2</v>
      </c>
      <c r="AY83" s="13">
        <f t="shared" si="87"/>
        <v>9</v>
      </c>
      <c r="AZ83" s="62"/>
      <c r="BA83" s="143"/>
      <c r="BB83" s="13">
        <f t="shared" si="88"/>
        <v>9</v>
      </c>
      <c r="BC83" s="62"/>
      <c r="BD83" s="143"/>
      <c r="BE83" s="13">
        <f t="shared" si="89"/>
        <v>9</v>
      </c>
      <c r="BF83" s="62"/>
      <c r="BG83" s="143">
        <v>1</v>
      </c>
      <c r="BH83" s="13">
        <f t="shared" si="90"/>
        <v>8</v>
      </c>
      <c r="BI83" s="62"/>
      <c r="BJ83" s="143"/>
      <c r="BK83" s="13">
        <f t="shared" si="91"/>
        <v>8</v>
      </c>
      <c r="BL83" s="62">
        <v>6</v>
      </c>
      <c r="BM83" s="143">
        <v>2</v>
      </c>
      <c r="BN83" s="13">
        <f t="shared" si="92"/>
        <v>12</v>
      </c>
      <c r="BO83" s="62"/>
      <c r="BP83" s="143">
        <v>1</v>
      </c>
      <c r="BQ83" s="13">
        <f t="shared" si="93"/>
        <v>11</v>
      </c>
      <c r="BR83" s="62"/>
      <c r="BS83" s="143">
        <v>2</v>
      </c>
      <c r="BT83" s="13">
        <f t="shared" si="37"/>
        <v>9</v>
      </c>
      <c r="BU83" s="62"/>
      <c r="BV83" s="143"/>
      <c r="BW83" s="13">
        <f t="shared" si="94"/>
        <v>9</v>
      </c>
      <c r="BX83" s="62"/>
      <c r="BY83" s="143"/>
      <c r="BZ83" s="13">
        <f t="shared" si="38"/>
        <v>9</v>
      </c>
      <c r="CA83" s="62"/>
      <c r="CB83" s="143">
        <v>3</v>
      </c>
      <c r="CC83" s="13">
        <f t="shared" si="39"/>
        <v>6</v>
      </c>
      <c r="CD83" s="62"/>
      <c r="CE83" s="143"/>
      <c r="CF83" s="13">
        <f t="shared" si="40"/>
        <v>6</v>
      </c>
      <c r="CG83" s="62">
        <v>6</v>
      </c>
      <c r="CH83" s="143">
        <v>3</v>
      </c>
      <c r="CI83" s="13">
        <f t="shared" si="46"/>
        <v>9</v>
      </c>
      <c r="CJ83" s="62"/>
      <c r="CK83" s="143">
        <f>1+1</f>
        <v>2</v>
      </c>
      <c r="CL83" s="13">
        <f t="shared" si="47"/>
        <v>7</v>
      </c>
      <c r="CM83" s="62">
        <v>6</v>
      </c>
      <c r="CN83" s="143">
        <v>2</v>
      </c>
      <c r="CO83" s="13">
        <f t="shared" si="41"/>
        <v>11</v>
      </c>
      <c r="CP83" s="62"/>
      <c r="CQ83" s="143"/>
      <c r="CR83" s="13">
        <f t="shared" si="48"/>
        <v>11</v>
      </c>
      <c r="CS83" s="62"/>
      <c r="CT83" s="143"/>
      <c r="CU83" s="14">
        <f t="shared" si="42"/>
        <v>11</v>
      </c>
      <c r="CV83" s="129">
        <f t="shared" si="43"/>
        <v>42</v>
      </c>
      <c r="CW83" s="130">
        <f t="shared" si="43"/>
        <v>37</v>
      </c>
      <c r="CX83" s="131">
        <f t="shared" si="95"/>
        <v>11</v>
      </c>
      <c r="CY83" s="163">
        <v>0</v>
      </c>
      <c r="CZ83" s="172">
        <f t="shared" si="45"/>
        <v>0</v>
      </c>
      <c r="DB83" s="2">
        <f t="shared" si="49"/>
        <v>11</v>
      </c>
      <c r="DC83" s="62"/>
      <c r="DD83" s="143"/>
      <c r="DE83" s="149">
        <f t="shared" si="50"/>
        <v>11</v>
      </c>
    </row>
    <row r="84" spans="1:109" ht="15.75" customHeight="1">
      <c r="A84" s="33" t="s">
        <v>123</v>
      </c>
      <c r="B84" s="49" t="s">
        <v>124</v>
      </c>
      <c r="C84" s="111" t="s">
        <v>27</v>
      </c>
      <c r="D84" s="52">
        <v>168</v>
      </c>
      <c r="E84" s="53" t="s">
        <v>125</v>
      </c>
      <c r="F84" s="14">
        <v>46</v>
      </c>
      <c r="G84" s="62">
        <v>24</v>
      </c>
      <c r="H84" s="143">
        <f>2+36</f>
        <v>38</v>
      </c>
      <c r="I84" s="13">
        <f t="shared" si="73"/>
        <v>32</v>
      </c>
      <c r="J84" s="62"/>
      <c r="K84" s="143"/>
      <c r="L84" s="13">
        <f t="shared" si="74"/>
        <v>32</v>
      </c>
      <c r="M84" s="62">
        <v>24</v>
      </c>
      <c r="N84" s="143">
        <f>3+9</f>
        <v>12</v>
      </c>
      <c r="O84" s="13">
        <f t="shared" si="75"/>
        <v>44</v>
      </c>
      <c r="P84" s="62">
        <v>48</v>
      </c>
      <c r="Q84" s="143">
        <f>4+30</f>
        <v>34</v>
      </c>
      <c r="R84" s="30">
        <f t="shared" si="76"/>
        <v>58</v>
      </c>
      <c r="S84" s="62"/>
      <c r="T84" s="143"/>
      <c r="U84" s="13">
        <f t="shared" si="77"/>
        <v>58</v>
      </c>
      <c r="V84" s="62"/>
      <c r="W84" s="143">
        <f>3+14</f>
        <v>17</v>
      </c>
      <c r="X84" s="13">
        <f>U84+V84-W84</f>
        <v>41</v>
      </c>
      <c r="Y84" s="62">
        <v>24</v>
      </c>
      <c r="Z84" s="143">
        <f>2+19</f>
        <v>21</v>
      </c>
      <c r="AA84" s="13">
        <f t="shared" si="79"/>
        <v>44</v>
      </c>
      <c r="AB84" s="62">
        <v>24</v>
      </c>
      <c r="AC84" s="143">
        <f>2+22</f>
        <v>24</v>
      </c>
      <c r="AD84" s="13">
        <f t="shared" si="80"/>
        <v>44</v>
      </c>
      <c r="AE84" s="62"/>
      <c r="AF84" s="143"/>
      <c r="AG84" s="13">
        <f t="shared" si="81"/>
        <v>44</v>
      </c>
      <c r="AH84" s="62"/>
      <c r="AI84" s="143">
        <f>4+18</f>
        <v>22</v>
      </c>
      <c r="AJ84" s="13">
        <f t="shared" si="82"/>
        <v>22</v>
      </c>
      <c r="AK84" s="62">
        <v>48</v>
      </c>
      <c r="AL84" s="143">
        <f>3+14</f>
        <v>17</v>
      </c>
      <c r="AM84" s="13">
        <f t="shared" si="83"/>
        <v>53</v>
      </c>
      <c r="AN84" s="62"/>
      <c r="AO84" s="143"/>
      <c r="AP84" s="13">
        <f t="shared" si="84"/>
        <v>53</v>
      </c>
      <c r="AQ84" s="62">
        <v>24</v>
      </c>
      <c r="AR84" s="143">
        <v>13</v>
      </c>
      <c r="AS84" s="13">
        <f t="shared" si="85"/>
        <v>64</v>
      </c>
      <c r="AT84" s="62">
        <v>36</v>
      </c>
      <c r="AU84" s="143">
        <v>32</v>
      </c>
      <c r="AV84" s="13">
        <f t="shared" si="86"/>
        <v>68</v>
      </c>
      <c r="AW84" s="62"/>
      <c r="AX84" s="143">
        <f>41</f>
        <v>41</v>
      </c>
      <c r="AY84" s="13">
        <f t="shared" si="87"/>
        <v>27</v>
      </c>
      <c r="AZ84" s="62"/>
      <c r="BA84" s="143"/>
      <c r="BB84" s="13">
        <f t="shared" si="88"/>
        <v>27</v>
      </c>
      <c r="BC84" s="62">
        <v>12</v>
      </c>
      <c r="BD84" s="143">
        <v>16</v>
      </c>
      <c r="BE84" s="13">
        <f t="shared" si="89"/>
        <v>23</v>
      </c>
      <c r="BF84" s="62"/>
      <c r="BG84" s="143">
        <v>19</v>
      </c>
      <c r="BH84" s="13">
        <f t="shared" si="90"/>
        <v>4</v>
      </c>
      <c r="BI84" s="62"/>
      <c r="BJ84" s="143"/>
      <c r="BK84" s="13">
        <f t="shared" si="91"/>
        <v>4</v>
      </c>
      <c r="BL84" s="62">
        <v>96</v>
      </c>
      <c r="BM84" s="143">
        <f>2+17</f>
        <v>19</v>
      </c>
      <c r="BN84" s="13">
        <f t="shared" si="92"/>
        <v>81</v>
      </c>
      <c r="BO84" s="62">
        <v>24</v>
      </c>
      <c r="BP84" s="143">
        <v>18</v>
      </c>
      <c r="BQ84" s="13">
        <f t="shared" si="93"/>
        <v>87</v>
      </c>
      <c r="BR84" s="62">
        <v>48</v>
      </c>
      <c r="BS84" s="143">
        <f>3+40</f>
        <v>43</v>
      </c>
      <c r="BT84" s="13">
        <f t="shared" si="37"/>
        <v>92</v>
      </c>
      <c r="BU84" s="62"/>
      <c r="BV84" s="143"/>
      <c r="BW84" s="13">
        <f t="shared" si="94"/>
        <v>92</v>
      </c>
      <c r="BX84" s="62"/>
      <c r="BY84" s="143">
        <f>4+13</f>
        <v>17</v>
      </c>
      <c r="BZ84" s="13">
        <f t="shared" si="38"/>
        <v>75</v>
      </c>
      <c r="CA84" s="62"/>
      <c r="CB84" s="143">
        <v>12</v>
      </c>
      <c r="CC84" s="13">
        <f t="shared" si="39"/>
        <v>63</v>
      </c>
      <c r="CD84" s="62"/>
      <c r="CE84" s="143"/>
      <c r="CF84" s="13">
        <f t="shared" si="40"/>
        <v>63</v>
      </c>
      <c r="CG84" s="62"/>
      <c r="CH84" s="143">
        <v>16</v>
      </c>
      <c r="CI84" s="13">
        <f t="shared" si="46"/>
        <v>47</v>
      </c>
      <c r="CJ84" s="62"/>
      <c r="CK84" s="143">
        <v>12</v>
      </c>
      <c r="CL84" s="13">
        <f t="shared" si="47"/>
        <v>35</v>
      </c>
      <c r="CM84" s="62">
        <v>48</v>
      </c>
      <c r="CN84" s="143">
        <f>2+28</f>
        <v>30</v>
      </c>
      <c r="CO84" s="13">
        <f t="shared" si="41"/>
        <v>53</v>
      </c>
      <c r="CP84" s="62"/>
      <c r="CQ84" s="143"/>
      <c r="CR84" s="13">
        <f t="shared" si="48"/>
        <v>53</v>
      </c>
      <c r="CS84" s="62"/>
      <c r="CT84" s="143"/>
      <c r="CU84" s="14">
        <f t="shared" si="42"/>
        <v>53</v>
      </c>
      <c r="CV84" s="5">
        <f>G84+J84+M84+P84+S84+V84+Y84+AB84+AE84+AH84+AK84+AN84+AQ84+AT84+AW84+AZ84+BC84+BF84+BI84+BL84+BO84+BR84+BU84+BX84+CA84+CD84+CG84+CJ84+CM84+CP84+CS84</f>
        <v>480</v>
      </c>
      <c r="CW84" s="4">
        <f>H84+K84+N84+Q84+T84+W84+Z84+AC84+AF84+AI84+AL84+AO84+AR84+AU84+AX84+BA84+BD84+BG84+BJ84+BM84+BP84+BS84+BV84+BY84+CB84+CE84+CH84+CK84+CN84+CQ84+CT84</f>
        <v>473</v>
      </c>
      <c r="CX84" s="6">
        <f t="shared" si="95"/>
        <v>53</v>
      </c>
      <c r="CY84" s="164">
        <v>0</v>
      </c>
      <c r="CZ84" s="171">
        <f t="shared" si="45"/>
        <v>0</v>
      </c>
      <c r="DB84" s="2">
        <f t="shared" si="49"/>
        <v>53</v>
      </c>
      <c r="DC84" s="62"/>
      <c r="DD84" s="143"/>
      <c r="DE84" s="149">
        <f t="shared" si="50"/>
        <v>53</v>
      </c>
    </row>
    <row r="85" spans="1:109" ht="16.2">
      <c r="A85" s="135" t="s">
        <v>200</v>
      </c>
      <c r="B85" s="3" t="s">
        <v>254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7.25" customHeight="1">
      <c r="A86" s="135" t="s">
        <v>261</v>
      </c>
      <c r="B86" s="3" t="s">
        <v>262</v>
      </c>
      <c r="C86" s="104" t="s">
        <v>27</v>
      </c>
      <c r="D86" s="34">
        <v>15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 t="shared" si="38"/>
        <v>0</v>
      </c>
      <c r="CA86" s="143"/>
      <c r="CB86" s="143"/>
      <c r="CC86" s="13">
        <f t="shared" si="39"/>
        <v>0</v>
      </c>
      <c r="CD86" s="143"/>
      <c r="CE86" s="143"/>
      <c r="CF86" s="13">
        <f t="shared" si="40"/>
        <v>0</v>
      </c>
      <c r="CG86" s="143"/>
      <c r="CH86" s="143"/>
      <c r="CI86" s="13">
        <f t="shared" si="46"/>
        <v>0</v>
      </c>
      <c r="CJ86" s="143"/>
      <c r="CK86" s="143"/>
      <c r="CL86" s="13">
        <f t="shared" si="47"/>
        <v>0</v>
      </c>
      <c r="CM86" s="143"/>
      <c r="CN86" s="143"/>
      <c r="CO86" s="13">
        <f t="shared" si="41"/>
        <v>0</v>
      </c>
      <c r="CP86" s="143"/>
      <c r="CQ86" s="143"/>
      <c r="CR86" s="13">
        <f t="shared" si="48"/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5" customHeight="1">
      <c r="A87" s="33" t="s">
        <v>201</v>
      </c>
      <c r="B87" s="3" t="s">
        <v>190</v>
      </c>
      <c r="C87" s="104" t="s">
        <v>27</v>
      </c>
      <c r="D87" s="34">
        <v>60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191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>BW88+BX88-BY88</f>
        <v>0</v>
      </c>
      <c r="CA88" s="143"/>
      <c r="CB88" s="143"/>
      <c r="CC88" s="13">
        <f>BZ88+CA88-CB88</f>
        <v>0</v>
      </c>
      <c r="CD88" s="143"/>
      <c r="CE88" s="143"/>
      <c r="CF88" s="13">
        <f>CC88+CD88-CE88</f>
        <v>0</v>
      </c>
      <c r="CG88" s="143"/>
      <c r="CH88" s="143"/>
      <c r="CI88" s="13">
        <f>CF88+CG88-CH88</f>
        <v>0</v>
      </c>
      <c r="CJ88" s="143"/>
      <c r="CK88" s="143"/>
      <c r="CL88" s="13">
        <f>CI88+CJ88-CK88</f>
        <v>0</v>
      </c>
      <c r="CM88" s="143"/>
      <c r="CN88" s="143"/>
      <c r="CO88" s="13">
        <f>CL88+CM88-CN88</f>
        <v>0</v>
      </c>
      <c r="CP88" s="143"/>
      <c r="CQ88" s="143"/>
      <c r="CR88" s="13">
        <f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6.2">
      <c r="A89" s="33" t="s">
        <v>201</v>
      </c>
      <c r="B89" s="3" t="s">
        <v>258</v>
      </c>
      <c r="C89" s="104" t="s">
        <v>27</v>
      </c>
      <c r="D89" s="34">
        <v>40</v>
      </c>
      <c r="E89" s="9" t="s">
        <v>260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 t="shared" ref="BZ89" si="109">BW89+BX89-BY89</f>
        <v>0</v>
      </c>
      <c r="CA89" s="143"/>
      <c r="CB89" s="143"/>
      <c r="CC89" s="13">
        <f t="shared" ref="CC89" si="110">BZ89+CA89-CB89</f>
        <v>0</v>
      </c>
      <c r="CD89" s="143"/>
      <c r="CE89" s="143"/>
      <c r="CF89" s="13">
        <f t="shared" ref="CF89" si="111">CC89+CD89-CE89</f>
        <v>0</v>
      </c>
      <c r="CG89" s="143"/>
      <c r="CH89" s="143"/>
      <c r="CI89" s="13">
        <f t="shared" ref="CI89" si="112">CF89+CG89-CH89</f>
        <v>0</v>
      </c>
      <c r="CJ89" s="143"/>
      <c r="CK89" s="143"/>
      <c r="CL89" s="13">
        <f t="shared" ref="CL89" si="113">CI89+CJ89-CK89</f>
        <v>0</v>
      </c>
      <c r="CM89" s="143"/>
      <c r="CN89" s="143"/>
      <c r="CO89" s="13">
        <f t="shared" ref="CO89" si="114">CL89+CM89-CN89</f>
        <v>0</v>
      </c>
      <c r="CP89" s="143"/>
      <c r="CQ89" s="143"/>
      <c r="CR89" s="13">
        <f t="shared" ref="CR89" si="115"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787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210</v>
      </c>
      <c r="C90" s="104" t="s">
        <v>27</v>
      </c>
      <c r="D90" s="34">
        <v>40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>BW90+BX90-BY90</f>
        <v>0</v>
      </c>
      <c r="CA90" s="143"/>
      <c r="CB90" s="143"/>
      <c r="CC90" s="13">
        <f>BZ90+CA90-CB90</f>
        <v>0</v>
      </c>
      <c r="CD90" s="143"/>
      <c r="CE90" s="143"/>
      <c r="CF90" s="13">
        <f>CC90+CD90-CE90</f>
        <v>0</v>
      </c>
      <c r="CG90" s="143"/>
      <c r="CH90" s="143"/>
      <c r="CI90" s="13">
        <f>CF90+CG90-CH90</f>
        <v>0</v>
      </c>
      <c r="CJ90" s="143"/>
      <c r="CK90" s="143"/>
      <c r="CL90" s="13">
        <f>CI90+CJ90-CK90</f>
        <v>0</v>
      </c>
      <c r="CM90" s="143"/>
      <c r="CN90" s="143"/>
      <c r="CO90" s="13">
        <f>CL90+CM90-CN90</f>
        <v>0</v>
      </c>
      <c r="CP90" s="143"/>
      <c r="CQ90" s="143"/>
      <c r="CR90" s="13">
        <f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211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ref="BZ91:BZ94" si="116">BW91+BX91-BY91</f>
        <v>0</v>
      </c>
      <c r="CA91" s="143"/>
      <c r="CB91" s="143"/>
      <c r="CC91" s="13">
        <f t="shared" ref="CC91:CC94" si="117">BZ91+CA91-CB91</f>
        <v>0</v>
      </c>
      <c r="CD91" s="143"/>
      <c r="CE91" s="143"/>
      <c r="CF91" s="13">
        <f t="shared" ref="CF91:CF94" si="118">CC91+CD91-CE91</f>
        <v>0</v>
      </c>
      <c r="CG91" s="143"/>
      <c r="CH91" s="143"/>
      <c r="CI91" s="13">
        <f t="shared" ref="CI91:CI94" si="119">CF91+CG91-CH91</f>
        <v>0</v>
      </c>
      <c r="CJ91" s="143"/>
      <c r="CK91" s="143"/>
      <c r="CL91" s="13">
        <f t="shared" ref="CL91:CL94" si="120">CI91+CJ91-CK91</f>
        <v>0</v>
      </c>
      <c r="CM91" s="143"/>
      <c r="CN91" s="143"/>
      <c r="CO91" s="13">
        <f t="shared" ref="CO91:CO94" si="121">CL91+CM91-CN91</f>
        <v>0</v>
      </c>
      <c r="CP91" s="143"/>
      <c r="CQ91" s="143"/>
      <c r="CR91" s="13">
        <f t="shared" ref="CR91:CR94" si="122">CO91+CP91-CQ91</f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7.25" hidden="1" customHeight="1">
      <c r="A92" s="135" t="s">
        <v>209</v>
      </c>
      <c r="B92" s="3" t="s">
        <v>212</v>
      </c>
      <c r="C92" s="104" t="s">
        <v>27</v>
      </c>
      <c r="D92" s="34">
        <v>20</v>
      </c>
      <c r="E92" s="9" t="s">
        <v>68</v>
      </c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16"/>
        <v>0</v>
      </c>
      <c r="CA92" s="143"/>
      <c r="CB92" s="143"/>
      <c r="CC92" s="13">
        <f t="shared" si="117"/>
        <v>0</v>
      </c>
      <c r="CD92" s="143"/>
      <c r="CE92" s="143"/>
      <c r="CF92" s="13">
        <f t="shared" si="118"/>
        <v>0</v>
      </c>
      <c r="CG92" s="143"/>
      <c r="CH92" s="143"/>
      <c r="CI92" s="13">
        <f t="shared" si="119"/>
        <v>0</v>
      </c>
      <c r="CJ92" s="143"/>
      <c r="CK92" s="143"/>
      <c r="CL92" s="13">
        <f t="shared" si="120"/>
        <v>0</v>
      </c>
      <c r="CM92" s="143"/>
      <c r="CN92" s="143"/>
      <c r="CO92" s="13">
        <f t="shared" si="121"/>
        <v>0</v>
      </c>
      <c r="CP92" s="143"/>
      <c r="CQ92" s="143"/>
      <c r="CR92" s="13">
        <f t="shared" si="122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472</v>
      </c>
      <c r="CZ92" s="171">
        <f t="shared" si="45"/>
        <v>0</v>
      </c>
      <c r="DA92" s="48"/>
      <c r="DB92" s="2">
        <f t="shared" si="49"/>
        <v>0</v>
      </c>
      <c r="DC92" s="62"/>
      <c r="DD92" s="143"/>
      <c r="DE92" s="149">
        <f t="shared" si="50"/>
        <v>0</v>
      </c>
    </row>
    <row r="93" spans="1:109" ht="16.2">
      <c r="A93" s="33"/>
      <c r="B93" s="56"/>
      <c r="C93" s="138"/>
      <c r="D93" s="44"/>
      <c r="E93" s="44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16"/>
        <v>0</v>
      </c>
      <c r="CA93" s="143"/>
      <c r="CB93" s="143"/>
      <c r="CC93" s="13">
        <f t="shared" si="117"/>
        <v>0</v>
      </c>
      <c r="CD93" s="143"/>
      <c r="CE93" s="143"/>
      <c r="CF93" s="13">
        <f t="shared" si="118"/>
        <v>0</v>
      </c>
      <c r="CG93" s="143"/>
      <c r="CH93" s="143"/>
      <c r="CI93" s="13">
        <f t="shared" si="119"/>
        <v>0</v>
      </c>
      <c r="CJ93" s="143"/>
      <c r="CK93" s="143"/>
      <c r="CL93" s="13">
        <f t="shared" si="120"/>
        <v>0</v>
      </c>
      <c r="CM93" s="143"/>
      <c r="CN93" s="143"/>
      <c r="CO93" s="13">
        <f t="shared" si="121"/>
        <v>0</v>
      </c>
      <c r="CP93" s="143"/>
      <c r="CQ93" s="143"/>
      <c r="CR93" s="13">
        <f t="shared" si="122"/>
        <v>0</v>
      </c>
      <c r="CS93" s="143"/>
      <c r="CT93" s="143"/>
      <c r="CU93" s="14">
        <f t="shared" si="42"/>
        <v>0</v>
      </c>
      <c r="CV93" s="5">
        <f t="shared" si="43"/>
        <v>0</v>
      </c>
      <c r="CW93" s="4">
        <f t="shared" si="43"/>
        <v>0</v>
      </c>
      <c r="CX93" s="6">
        <f t="shared" si="95"/>
        <v>0</v>
      </c>
      <c r="CY93" s="165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A94" s="33"/>
      <c r="B94" s="36"/>
      <c r="C94" s="104"/>
      <c r="D94" s="34"/>
      <c r="E94" s="9"/>
      <c r="F94" s="14">
        <v>0</v>
      </c>
      <c r="G94" s="143"/>
      <c r="H94" s="143"/>
      <c r="I94" s="13">
        <f t="shared" si="73"/>
        <v>0</v>
      </c>
      <c r="J94" s="143"/>
      <c r="K94" s="143"/>
      <c r="L94" s="13">
        <f t="shared" si="74"/>
        <v>0</v>
      </c>
      <c r="M94" s="143"/>
      <c r="N94" s="143"/>
      <c r="O94" s="13">
        <f t="shared" si="75"/>
        <v>0</v>
      </c>
      <c r="P94" s="143"/>
      <c r="Q94" s="143"/>
      <c r="R94" s="30">
        <f t="shared" si="76"/>
        <v>0</v>
      </c>
      <c r="S94" s="143"/>
      <c r="T94" s="143"/>
      <c r="U94" s="13">
        <f t="shared" si="77"/>
        <v>0</v>
      </c>
      <c r="V94" s="143"/>
      <c r="W94" s="143"/>
      <c r="X94" s="13">
        <f t="shared" si="78"/>
        <v>0</v>
      </c>
      <c r="Y94" s="143"/>
      <c r="Z94" s="143"/>
      <c r="AA94" s="13">
        <f t="shared" si="57"/>
        <v>0</v>
      </c>
      <c r="AB94" s="143"/>
      <c r="AC94" s="143"/>
      <c r="AD94" s="13">
        <f t="shared" si="80"/>
        <v>0</v>
      </c>
      <c r="AE94" s="143"/>
      <c r="AF94" s="143"/>
      <c r="AG94" s="13">
        <f t="shared" si="81"/>
        <v>0</v>
      </c>
      <c r="AH94" s="143"/>
      <c r="AI94" s="143"/>
      <c r="AJ94" s="13">
        <f t="shared" si="82"/>
        <v>0</v>
      </c>
      <c r="AK94" s="143"/>
      <c r="AL94" s="143"/>
      <c r="AM94" s="13">
        <f t="shared" si="83"/>
        <v>0</v>
      </c>
      <c r="AN94" s="143"/>
      <c r="AO94" s="143"/>
      <c r="AP94" s="13">
        <f t="shared" si="84"/>
        <v>0</v>
      </c>
      <c r="AQ94" s="143"/>
      <c r="AR94" s="143"/>
      <c r="AS94" s="13">
        <f t="shared" si="85"/>
        <v>0</v>
      </c>
      <c r="AT94" s="143"/>
      <c r="AU94" s="143"/>
      <c r="AV94" s="13">
        <f t="shared" si="86"/>
        <v>0</v>
      </c>
      <c r="AW94" s="143"/>
      <c r="AX94" s="143"/>
      <c r="AY94" s="13">
        <f t="shared" si="87"/>
        <v>0</v>
      </c>
      <c r="AZ94" s="143"/>
      <c r="BA94" s="143"/>
      <c r="BB94" s="13">
        <f t="shared" si="88"/>
        <v>0</v>
      </c>
      <c r="BC94" s="143"/>
      <c r="BD94" s="143"/>
      <c r="BE94" s="13">
        <f t="shared" si="89"/>
        <v>0</v>
      </c>
      <c r="BF94" s="143"/>
      <c r="BG94" s="143"/>
      <c r="BH94" s="13">
        <f t="shared" si="90"/>
        <v>0</v>
      </c>
      <c r="BI94" s="143"/>
      <c r="BJ94" s="143"/>
      <c r="BK94" s="13">
        <f t="shared" si="91"/>
        <v>0</v>
      </c>
      <c r="BL94" s="143"/>
      <c r="BM94" s="143"/>
      <c r="BN94" s="13">
        <f t="shared" si="92"/>
        <v>0</v>
      </c>
      <c r="BO94" s="143"/>
      <c r="BP94" s="143"/>
      <c r="BQ94" s="13">
        <f t="shared" si="93"/>
        <v>0</v>
      </c>
      <c r="BR94" s="143"/>
      <c r="BS94" s="143"/>
      <c r="BT94" s="13">
        <f t="shared" si="37"/>
        <v>0</v>
      </c>
      <c r="BU94" s="143"/>
      <c r="BV94" s="143"/>
      <c r="BW94" s="13">
        <f t="shared" si="94"/>
        <v>0</v>
      </c>
      <c r="BX94" s="143"/>
      <c r="BY94" s="143"/>
      <c r="BZ94" s="13">
        <f t="shared" si="116"/>
        <v>0</v>
      </c>
      <c r="CA94" s="143"/>
      <c r="CB94" s="143"/>
      <c r="CC94" s="13">
        <f t="shared" si="117"/>
        <v>0</v>
      </c>
      <c r="CD94" s="143"/>
      <c r="CE94" s="143"/>
      <c r="CF94" s="13">
        <f t="shared" si="118"/>
        <v>0</v>
      </c>
      <c r="CG94" s="143"/>
      <c r="CH94" s="143"/>
      <c r="CI94" s="13">
        <f t="shared" si="119"/>
        <v>0</v>
      </c>
      <c r="CJ94" s="143"/>
      <c r="CK94" s="143"/>
      <c r="CL94" s="13">
        <f t="shared" si="120"/>
        <v>0</v>
      </c>
      <c r="CM94" s="143"/>
      <c r="CN94" s="143"/>
      <c r="CO94" s="13">
        <f t="shared" si="121"/>
        <v>0</v>
      </c>
      <c r="CP94" s="143"/>
      <c r="CQ94" s="143"/>
      <c r="CR94" s="13">
        <f t="shared" si="122"/>
        <v>0</v>
      </c>
      <c r="CS94" s="143"/>
      <c r="CT94" s="143"/>
      <c r="CU94" s="14">
        <f t="shared" si="42"/>
        <v>0</v>
      </c>
      <c r="CV94" s="139">
        <f t="shared" si="43"/>
        <v>0</v>
      </c>
      <c r="CW94" s="140">
        <f t="shared" si="43"/>
        <v>0</v>
      </c>
      <c r="CX94" s="141">
        <f t="shared" si="95"/>
        <v>0</v>
      </c>
      <c r="CY94" s="166">
        <v>0</v>
      </c>
      <c r="CZ94" s="171">
        <f t="shared" si="45"/>
        <v>0</v>
      </c>
      <c r="DB94" s="2">
        <f t="shared" si="49"/>
        <v>0</v>
      </c>
      <c r="DC94" s="62"/>
      <c r="DD94" s="143"/>
      <c r="DE94" s="149">
        <f t="shared" si="50"/>
        <v>0</v>
      </c>
    </row>
    <row r="95" spans="1:109" ht="16.8" thickBot="1">
      <c r="B95" s="36"/>
      <c r="C95" s="104"/>
      <c r="D95" s="34"/>
      <c r="E95" s="9"/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Y95" s="47" t="s">
        <v>127</v>
      </c>
      <c r="CZ95" s="173">
        <f>SUM(CZ5:CZ94)</f>
        <v>203988.25</v>
      </c>
      <c r="DA95" s="48"/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Z96" s="174">
        <f>CZ95*1.08</f>
        <v>220307.31000000003</v>
      </c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  <row r="134" spans="6:99">
      <c r="F134" s="32"/>
      <c r="G134" s="21"/>
      <c r="H134" s="21"/>
      <c r="I134" s="15"/>
      <c r="J134" s="21"/>
      <c r="K134" s="21"/>
      <c r="L134" s="15"/>
      <c r="M134" s="21"/>
      <c r="N134" s="27"/>
      <c r="O134" s="15"/>
      <c r="P134" s="21"/>
      <c r="Q134" s="27"/>
      <c r="R134" s="15"/>
      <c r="S134" s="21"/>
      <c r="T134" s="21"/>
      <c r="U134" s="15"/>
      <c r="V134" s="21"/>
      <c r="W134" s="21"/>
      <c r="X134" s="15"/>
      <c r="Y134" s="21"/>
      <c r="Z134" s="21"/>
      <c r="AA134" s="15"/>
      <c r="AB134" s="21"/>
      <c r="AC134" s="21"/>
      <c r="AD134" s="15"/>
      <c r="AE134" s="21"/>
      <c r="AF134" s="27"/>
      <c r="AG134" s="15"/>
      <c r="AH134" s="21"/>
      <c r="AI134" s="27"/>
      <c r="AJ134" s="15"/>
      <c r="AK134" s="21"/>
      <c r="AL134" s="27"/>
      <c r="AM134" s="15"/>
      <c r="AN134" s="21"/>
      <c r="AO134" s="25"/>
      <c r="AP134" s="15"/>
      <c r="AQ134" s="21"/>
      <c r="AR134" s="27"/>
      <c r="AS134" s="21"/>
      <c r="AT134" s="21"/>
      <c r="AU134" s="21"/>
      <c r="AV134" s="15"/>
      <c r="AW134" s="21"/>
      <c r="AX134" s="27"/>
      <c r="AY134" s="15"/>
      <c r="AZ134" s="21"/>
      <c r="BA134" s="27"/>
      <c r="BB134" s="15"/>
      <c r="BC134" s="21"/>
      <c r="BD134" s="21"/>
      <c r="BE134" s="15"/>
      <c r="BF134" s="21"/>
      <c r="BG134" s="21"/>
      <c r="BH134" s="15"/>
      <c r="BI134" s="21"/>
      <c r="BJ134" s="27"/>
      <c r="BK134" s="15"/>
      <c r="BL134" s="21"/>
      <c r="BM134" s="21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41"/>
      <c r="BY134" s="15"/>
      <c r="BZ134" s="15"/>
      <c r="CA134" s="15"/>
      <c r="CB134" s="15"/>
      <c r="CC134" s="15"/>
      <c r="CD134" s="15"/>
      <c r="CE134" s="41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DC120-958F-47A4-88CF-1E4B0240B48E}">
  <sheetPr codeName="Sheet45">
    <tabColor rgb="FF00B0F0"/>
    <pageSetUpPr fitToPage="1"/>
  </sheetPr>
  <dimension ref="A1:DE134"/>
  <sheetViews>
    <sheetView zoomScale="160" zoomScaleNormal="160" workbookViewId="0">
      <pane xSplit="5" ySplit="4" topLeftCell="CR26" activePane="bottomRight" state="frozen"/>
      <selection pane="topRight" activeCell="F1" sqref="F1"/>
      <selection pane="bottomLeft" activeCell="A5" sqref="A5"/>
      <selection pane="bottomRight" activeCell="CY26" sqref="CY26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customWidth="1"/>
    <col min="9" max="9" width="5" style="10" customWidth="1"/>
    <col min="10" max="11" width="5" style="19" customWidth="1"/>
    <col min="12" max="12" width="5" style="10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customWidth="1"/>
    <col min="17" max="17" width="5" style="26" customWidth="1"/>
    <col min="18" max="18" width="5.109375" style="10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10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/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99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1"/>
      <c r="CH5" s="143"/>
      <c r="CI5" s="13">
        <f>CF5+CG5-CH5</f>
        <v>0</v>
      </c>
      <c r="CJ5" s="62"/>
      <c r="CK5" s="143"/>
      <c r="CL5" s="13">
        <f>CI5+CJ5-CK5</f>
        <v>0</v>
      </c>
      <c r="CM5" s="61"/>
      <c r="CN5" s="143"/>
      <c r="CO5" s="181">
        <f t="shared" ref="CO5:CO68" si="22">CL5+CM5-CN5</f>
        <v>0</v>
      </c>
      <c r="CP5" s="61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5</v>
      </c>
      <c r="E6" s="34" t="s">
        <v>26</v>
      </c>
      <c r="F6" s="14">
        <v>8</v>
      </c>
      <c r="G6" s="62"/>
      <c r="H6" s="143">
        <v>2</v>
      </c>
      <c r="I6" s="13">
        <f t="shared" si="0"/>
        <v>6</v>
      </c>
      <c r="J6" s="62">
        <v>10</v>
      </c>
      <c r="K6" s="143">
        <f>2</f>
        <v>2</v>
      </c>
      <c r="L6" s="13">
        <f t="shared" si="1"/>
        <v>14</v>
      </c>
      <c r="M6" s="62">
        <v>20</v>
      </c>
      <c r="N6" s="143">
        <f>3+1+5</f>
        <v>9</v>
      </c>
      <c r="O6" s="13">
        <f t="shared" si="2"/>
        <v>25</v>
      </c>
      <c r="P6" s="62"/>
      <c r="Q6" s="143">
        <f>1</f>
        <v>1</v>
      </c>
      <c r="R6" s="13">
        <f t="shared" si="3"/>
        <v>24</v>
      </c>
      <c r="S6" s="62"/>
      <c r="T6" s="143"/>
      <c r="U6" s="13">
        <f t="shared" si="4"/>
        <v>24</v>
      </c>
      <c r="V6" s="62"/>
      <c r="W6" s="143">
        <f>4+4+3+3+1</f>
        <v>15</v>
      </c>
      <c r="X6" s="13">
        <f t="shared" si="5"/>
        <v>9</v>
      </c>
      <c r="Y6" s="62">
        <v>10</v>
      </c>
      <c r="Z6" s="143"/>
      <c r="AA6" s="13">
        <f t="shared" ref="AA6:AA68" si="27">X6+Y6-Z6</f>
        <v>19</v>
      </c>
      <c r="AB6" s="62"/>
      <c r="AC6" s="143">
        <f>5+2</f>
        <v>7</v>
      </c>
      <c r="AD6" s="13">
        <f t="shared" ref="AD6:AD68" si="28">AA6+AB6-AC6</f>
        <v>12</v>
      </c>
      <c r="AE6" s="62">
        <v>10</v>
      </c>
      <c r="AF6" s="143">
        <f>5</f>
        <v>5</v>
      </c>
      <c r="AG6" s="13">
        <f t="shared" ref="AG6:AG68" si="29">AD6+AE6-AF6</f>
        <v>17</v>
      </c>
      <c r="AH6" s="62">
        <v>10</v>
      </c>
      <c r="AI6" s="199">
        <f>2+5</f>
        <v>7</v>
      </c>
      <c r="AJ6" s="13">
        <f t="shared" ref="AJ6:AJ68" si="30">AG6+AH6-AI6</f>
        <v>20</v>
      </c>
      <c r="AK6" s="62"/>
      <c r="AL6" s="143"/>
      <c r="AM6" s="13">
        <f t="shared" si="6"/>
        <v>20</v>
      </c>
      <c r="AN6" s="62"/>
      <c r="AO6" s="143"/>
      <c r="AP6" s="13">
        <f t="shared" si="7"/>
        <v>20</v>
      </c>
      <c r="AQ6" s="62"/>
      <c r="AR6" s="143"/>
      <c r="AS6" s="13">
        <f t="shared" si="8"/>
        <v>20</v>
      </c>
      <c r="AT6" s="62">
        <v>10</v>
      </c>
      <c r="AU6" s="143">
        <f>2+3+2+2</f>
        <v>9</v>
      </c>
      <c r="AV6" s="13">
        <f t="shared" si="9"/>
        <v>21</v>
      </c>
      <c r="AW6" s="62"/>
      <c r="AX6" s="143"/>
      <c r="AY6" s="13">
        <f t="shared" si="10"/>
        <v>21</v>
      </c>
      <c r="AZ6" s="62">
        <v>10</v>
      </c>
      <c r="BA6" s="143">
        <f>1+4</f>
        <v>5</v>
      </c>
      <c r="BB6" s="13">
        <f t="shared" si="11"/>
        <v>26</v>
      </c>
      <c r="BC6" s="62">
        <v>10</v>
      </c>
      <c r="BD6" s="143">
        <f>4+3+5</f>
        <v>12</v>
      </c>
      <c r="BE6" s="13">
        <f t="shared" si="12"/>
        <v>24</v>
      </c>
      <c r="BF6" s="62"/>
      <c r="BG6" s="143">
        <f>3</f>
        <v>3</v>
      </c>
      <c r="BH6" s="13">
        <f t="shared" si="13"/>
        <v>21</v>
      </c>
      <c r="BI6" s="62"/>
      <c r="BJ6" s="143"/>
      <c r="BK6" s="13">
        <f t="shared" si="14"/>
        <v>21</v>
      </c>
      <c r="BL6" s="62"/>
      <c r="BM6" s="143">
        <f>4+4+1</f>
        <v>9</v>
      </c>
      <c r="BN6" s="13">
        <f t="shared" si="15"/>
        <v>12</v>
      </c>
      <c r="BO6" s="62">
        <v>10</v>
      </c>
      <c r="BP6" s="143"/>
      <c r="BQ6" s="13">
        <f t="shared" si="16"/>
        <v>22</v>
      </c>
      <c r="BR6" s="62"/>
      <c r="BS6" s="143">
        <f>5</f>
        <v>5</v>
      </c>
      <c r="BT6" s="13">
        <f t="shared" si="17"/>
        <v>17</v>
      </c>
      <c r="BU6" s="62">
        <v>10</v>
      </c>
      <c r="BV6" s="143">
        <f>3+4</f>
        <v>7</v>
      </c>
      <c r="BW6" s="13">
        <f t="shared" si="18"/>
        <v>20</v>
      </c>
      <c r="BX6" s="62"/>
      <c r="BY6" s="143">
        <f>2+6</f>
        <v>8</v>
      </c>
      <c r="BZ6" s="13">
        <f t="shared" si="19"/>
        <v>12</v>
      </c>
      <c r="CA6" s="62"/>
      <c r="CB6" s="143"/>
      <c r="CC6" s="13">
        <f t="shared" si="20"/>
        <v>12</v>
      </c>
      <c r="CD6" s="62"/>
      <c r="CE6" s="143"/>
      <c r="CF6" s="13">
        <f t="shared" si="21"/>
        <v>12</v>
      </c>
      <c r="CG6" s="61">
        <v>10</v>
      </c>
      <c r="CH6" s="143">
        <v>2</v>
      </c>
      <c r="CI6" s="13">
        <f t="shared" ref="CI6:CI69" si="31">CF6+CG6-CH6</f>
        <v>20</v>
      </c>
      <c r="CJ6" s="62"/>
      <c r="CK6" s="143">
        <f>3</f>
        <v>3</v>
      </c>
      <c r="CL6" s="13">
        <f t="shared" ref="CL6:CL69" si="32">CI6+CJ6-CK6</f>
        <v>17</v>
      </c>
      <c r="CM6" s="61"/>
      <c r="CN6" s="143"/>
      <c r="CO6" s="13">
        <f t="shared" si="22"/>
        <v>17</v>
      </c>
      <c r="CP6" s="61"/>
      <c r="CQ6" s="143"/>
      <c r="CR6" s="13">
        <f t="shared" ref="CR6:CR69" si="33">CO6+CP6-CQ6</f>
        <v>17</v>
      </c>
      <c r="CS6" s="62"/>
      <c r="CT6" s="143">
        <v>5</v>
      </c>
      <c r="CU6" s="14">
        <f t="shared" si="23"/>
        <v>12</v>
      </c>
      <c r="CV6" s="5">
        <f t="shared" si="24"/>
        <v>120</v>
      </c>
      <c r="CW6" s="4">
        <f t="shared" si="24"/>
        <v>116</v>
      </c>
      <c r="CX6" s="6">
        <f t="shared" si="25"/>
        <v>12</v>
      </c>
      <c r="CY6" s="162">
        <v>210</v>
      </c>
      <c r="CZ6" s="171">
        <f t="shared" si="26"/>
        <v>2520</v>
      </c>
      <c r="DB6" s="2">
        <f t="shared" ref="DB6:DB69" si="34">CU6</f>
        <v>12</v>
      </c>
      <c r="DC6" s="61"/>
      <c r="DD6" s="143"/>
      <c r="DE6" s="149">
        <f t="shared" ref="DE6:DE70" si="35">DC6+DB6-DD6</f>
        <v>12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1"/>
      <c r="AF7" s="143"/>
      <c r="AG7" s="13">
        <f t="shared" si="29"/>
        <v>0</v>
      </c>
      <c r="AH7" s="62"/>
      <c r="AI7" s="199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1"/>
      <c r="CB7" s="143"/>
      <c r="CC7" s="13">
        <f t="shared" si="20"/>
        <v>0</v>
      </c>
      <c r="CD7" s="62"/>
      <c r="CE7" s="143"/>
      <c r="CF7" s="13">
        <f t="shared" si="21"/>
        <v>0</v>
      </c>
      <c r="CG7" s="61"/>
      <c r="CH7" s="143"/>
      <c r="CI7" s="13">
        <f t="shared" si="31"/>
        <v>0</v>
      </c>
      <c r="CJ7" s="61"/>
      <c r="CK7" s="143"/>
      <c r="CL7" s="13">
        <f t="shared" si="32"/>
        <v>0</v>
      </c>
      <c r="CM7" s="61"/>
      <c r="CN7" s="143"/>
      <c r="CO7" s="13">
        <f t="shared" si="22"/>
        <v>0</v>
      </c>
      <c r="CP7" s="61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>
        <v>20</v>
      </c>
      <c r="E8" s="35" t="s">
        <v>26</v>
      </c>
      <c r="F8" s="14">
        <v>24</v>
      </c>
      <c r="G8" s="62"/>
      <c r="H8" s="143"/>
      <c r="I8" s="13">
        <f t="shared" si="0"/>
        <v>24</v>
      </c>
      <c r="J8" s="62"/>
      <c r="K8" s="143">
        <v>5</v>
      </c>
      <c r="L8" s="13">
        <f t="shared" si="1"/>
        <v>19</v>
      </c>
      <c r="M8" s="62">
        <v>20</v>
      </c>
      <c r="N8" s="143">
        <v>7</v>
      </c>
      <c r="O8" s="13">
        <f t="shared" si="2"/>
        <v>32</v>
      </c>
      <c r="P8" s="62"/>
      <c r="Q8" s="143">
        <v>7</v>
      </c>
      <c r="R8" s="13">
        <f t="shared" si="3"/>
        <v>25</v>
      </c>
      <c r="S8" s="62"/>
      <c r="T8" s="143"/>
      <c r="U8" s="13">
        <f t="shared" si="4"/>
        <v>25</v>
      </c>
      <c r="V8" s="62"/>
      <c r="W8" s="143">
        <v>1</v>
      </c>
      <c r="X8" s="13">
        <f t="shared" si="5"/>
        <v>24</v>
      </c>
      <c r="Y8" s="62"/>
      <c r="Z8" s="143">
        <v>8</v>
      </c>
      <c r="AA8" s="13">
        <f t="shared" si="27"/>
        <v>16</v>
      </c>
      <c r="AB8" s="62"/>
      <c r="AC8" s="143"/>
      <c r="AD8" s="13">
        <f t="shared" si="28"/>
        <v>16</v>
      </c>
      <c r="AE8" s="61">
        <v>20</v>
      </c>
      <c r="AF8" s="143">
        <v>8</v>
      </c>
      <c r="AG8" s="13">
        <f t="shared" si="29"/>
        <v>28</v>
      </c>
      <c r="AH8" s="61"/>
      <c r="AI8" s="199">
        <v>4</v>
      </c>
      <c r="AJ8" s="13">
        <f t="shared" si="30"/>
        <v>24</v>
      </c>
      <c r="AK8" s="62">
        <v>20</v>
      </c>
      <c r="AL8" s="143">
        <v>10</v>
      </c>
      <c r="AM8" s="13">
        <f t="shared" si="6"/>
        <v>34</v>
      </c>
      <c r="AN8" s="61"/>
      <c r="AO8" s="143"/>
      <c r="AP8" s="13">
        <f t="shared" si="7"/>
        <v>34</v>
      </c>
      <c r="AQ8" s="62"/>
      <c r="AR8" s="143">
        <v>4</v>
      </c>
      <c r="AS8" s="13">
        <f t="shared" si="8"/>
        <v>30</v>
      </c>
      <c r="AT8" s="61"/>
      <c r="AU8" s="143">
        <v>9</v>
      </c>
      <c r="AV8" s="13">
        <f t="shared" si="9"/>
        <v>21</v>
      </c>
      <c r="AW8" s="62"/>
      <c r="AX8" s="143"/>
      <c r="AY8" s="13">
        <f t="shared" si="10"/>
        <v>21</v>
      </c>
      <c r="AZ8" s="62"/>
      <c r="BA8" s="143">
        <v>4</v>
      </c>
      <c r="BB8" s="13">
        <f t="shared" si="11"/>
        <v>17</v>
      </c>
      <c r="BC8" s="62">
        <v>20</v>
      </c>
      <c r="BD8" s="143">
        <v>6</v>
      </c>
      <c r="BE8" s="13">
        <f t="shared" si="12"/>
        <v>31</v>
      </c>
      <c r="BF8" s="62"/>
      <c r="BG8" s="143">
        <v>9</v>
      </c>
      <c r="BH8" s="13">
        <f t="shared" si="13"/>
        <v>22</v>
      </c>
      <c r="BI8" s="62"/>
      <c r="BJ8" s="143"/>
      <c r="BK8" s="13">
        <f t="shared" si="14"/>
        <v>22</v>
      </c>
      <c r="BL8" s="62"/>
      <c r="BM8" s="143">
        <v>6</v>
      </c>
      <c r="BN8" s="13">
        <f t="shared" si="15"/>
        <v>16</v>
      </c>
      <c r="BO8" s="62">
        <v>20</v>
      </c>
      <c r="BP8" s="143">
        <v>4</v>
      </c>
      <c r="BQ8" s="13">
        <f t="shared" si="16"/>
        <v>32</v>
      </c>
      <c r="BR8" s="62"/>
      <c r="BS8" s="143"/>
      <c r="BT8" s="13">
        <f t="shared" si="17"/>
        <v>32</v>
      </c>
      <c r="BU8" s="62"/>
      <c r="BV8" s="143">
        <v>8</v>
      </c>
      <c r="BW8" s="13">
        <f t="shared" si="18"/>
        <v>24</v>
      </c>
      <c r="BX8" s="62">
        <v>20</v>
      </c>
      <c r="BY8" s="143">
        <v>4</v>
      </c>
      <c r="BZ8" s="13">
        <f t="shared" si="19"/>
        <v>40</v>
      </c>
      <c r="CA8" s="61"/>
      <c r="CB8" s="143">
        <v>11</v>
      </c>
      <c r="CC8" s="13">
        <f t="shared" si="20"/>
        <v>29</v>
      </c>
      <c r="CD8" s="62"/>
      <c r="CE8" s="143"/>
      <c r="CF8" s="13">
        <f t="shared" si="21"/>
        <v>29</v>
      </c>
      <c r="CG8" s="61"/>
      <c r="CH8" s="143">
        <v>5</v>
      </c>
      <c r="CI8" s="13">
        <f t="shared" si="31"/>
        <v>24</v>
      </c>
      <c r="CJ8" s="61"/>
      <c r="CK8" s="143">
        <v>3</v>
      </c>
      <c r="CL8" s="13">
        <f t="shared" si="32"/>
        <v>21</v>
      </c>
      <c r="CM8" s="61"/>
      <c r="CN8" s="143"/>
      <c r="CO8" s="13">
        <f t="shared" si="22"/>
        <v>21</v>
      </c>
      <c r="CP8" s="61">
        <v>20</v>
      </c>
      <c r="CQ8" s="143">
        <v>10</v>
      </c>
      <c r="CR8" s="13">
        <f t="shared" si="33"/>
        <v>31</v>
      </c>
      <c r="CS8" s="62"/>
      <c r="CT8" s="143">
        <v>4</v>
      </c>
      <c r="CU8" s="14">
        <f t="shared" si="23"/>
        <v>27</v>
      </c>
      <c r="CV8" s="5">
        <f t="shared" si="24"/>
        <v>140</v>
      </c>
      <c r="CW8" s="4">
        <f t="shared" si="24"/>
        <v>137</v>
      </c>
      <c r="CX8" s="6">
        <f t="shared" si="25"/>
        <v>27</v>
      </c>
      <c r="CY8" s="162">
        <v>125</v>
      </c>
      <c r="CZ8" s="171">
        <f t="shared" si="26"/>
        <v>3375</v>
      </c>
      <c r="DB8" s="2">
        <f t="shared" si="34"/>
        <v>27</v>
      </c>
      <c r="DC8" s="61"/>
      <c r="DD8" s="143"/>
      <c r="DE8" s="149">
        <f t="shared" si="35"/>
        <v>27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1"/>
      <c r="AF9" s="143"/>
      <c r="AG9" s="13">
        <f t="shared" si="29"/>
        <v>0</v>
      </c>
      <c r="AH9" s="61"/>
      <c r="AI9" s="199"/>
      <c r="AJ9" s="13">
        <f t="shared" si="30"/>
        <v>0</v>
      </c>
      <c r="AK9" s="62"/>
      <c r="AL9" s="143"/>
      <c r="AM9" s="13">
        <f t="shared" si="6"/>
        <v>0</v>
      </c>
      <c r="AN9" s="61"/>
      <c r="AO9" s="143"/>
      <c r="AP9" s="13">
        <f t="shared" si="7"/>
        <v>0</v>
      </c>
      <c r="AQ9" s="62"/>
      <c r="AR9" s="143"/>
      <c r="AS9" s="13">
        <f t="shared" si="8"/>
        <v>0</v>
      </c>
      <c r="AT9" s="61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1"/>
      <c r="AF10" s="143"/>
      <c r="AG10" s="13">
        <f t="shared" si="29"/>
        <v>0</v>
      </c>
      <c r="AH10" s="61"/>
      <c r="AI10" s="199"/>
      <c r="AJ10" s="13">
        <f t="shared" si="30"/>
        <v>0</v>
      </c>
      <c r="AK10" s="62"/>
      <c r="AL10" s="143"/>
      <c r="AM10" s="13">
        <f t="shared" si="6"/>
        <v>0</v>
      </c>
      <c r="AN10" s="61"/>
      <c r="AO10" s="143"/>
      <c r="AP10" s="13">
        <f t="shared" si="7"/>
        <v>0</v>
      </c>
      <c r="AQ10" s="62"/>
      <c r="AR10" s="143"/>
      <c r="AS10" s="13">
        <f t="shared" si="8"/>
        <v>0</v>
      </c>
      <c r="AT10" s="61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1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1"/>
      <c r="CH10" s="143"/>
      <c r="CI10" s="13">
        <f t="shared" si="31"/>
        <v>0</v>
      </c>
      <c r="CJ10" s="61"/>
      <c r="CK10" s="143"/>
      <c r="CL10" s="13">
        <f t="shared" si="32"/>
        <v>0</v>
      </c>
      <c r="CM10" s="61"/>
      <c r="CN10" s="143"/>
      <c r="CO10" s="13">
        <f t="shared" si="22"/>
        <v>0</v>
      </c>
      <c r="CP10" s="61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66"/>
      <c r="AF11" s="143"/>
      <c r="AG11" s="13">
        <f t="shared" si="29"/>
        <v>0</v>
      </c>
      <c r="AH11" s="66"/>
      <c r="AI11" s="199"/>
      <c r="AJ11" s="13">
        <f t="shared" si="30"/>
        <v>0</v>
      </c>
      <c r="AK11" s="175"/>
      <c r="AL11" s="143"/>
      <c r="AM11" s="13">
        <f t="shared" si="6"/>
        <v>0</v>
      </c>
      <c r="AN11" s="66"/>
      <c r="AO11" s="143"/>
      <c r="AP11" s="13">
        <f t="shared" si="7"/>
        <v>0</v>
      </c>
      <c r="AQ11" s="175"/>
      <c r="AR11" s="143"/>
      <c r="AS11" s="13">
        <f t="shared" si="8"/>
        <v>0</v>
      </c>
      <c r="AT11" s="66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66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66"/>
      <c r="CH11" s="143"/>
      <c r="CI11" s="13">
        <f t="shared" si="31"/>
        <v>0</v>
      </c>
      <c r="CJ11" s="66"/>
      <c r="CK11" s="143"/>
      <c r="CL11" s="13">
        <f t="shared" si="32"/>
        <v>0</v>
      </c>
      <c r="CM11" s="66"/>
      <c r="CN11" s="143"/>
      <c r="CO11" s="13">
        <f t="shared" si="22"/>
        <v>0</v>
      </c>
      <c r="CP11" s="66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104</v>
      </c>
      <c r="G12" s="62"/>
      <c r="H12" s="143"/>
      <c r="I12" s="13">
        <f t="shared" si="0"/>
        <v>104</v>
      </c>
      <c r="J12" s="62">
        <v>60</v>
      </c>
      <c r="K12" s="143">
        <v>22</v>
      </c>
      <c r="L12" s="13">
        <f t="shared" si="1"/>
        <v>142</v>
      </c>
      <c r="M12" s="62"/>
      <c r="N12" s="143">
        <f>3+14</f>
        <v>17</v>
      </c>
      <c r="O12" s="13">
        <f t="shared" si="2"/>
        <v>125</v>
      </c>
      <c r="P12" s="62"/>
      <c r="Q12" s="143">
        <f>5+52</f>
        <v>57</v>
      </c>
      <c r="R12" s="13">
        <f t="shared" si="3"/>
        <v>68</v>
      </c>
      <c r="S12" s="62"/>
      <c r="T12" s="143"/>
      <c r="U12" s="13">
        <f t="shared" si="4"/>
        <v>68</v>
      </c>
      <c r="V12" s="62"/>
      <c r="W12" s="143">
        <f>4+8+26</f>
        <v>38</v>
      </c>
      <c r="X12" s="13">
        <f t="shared" si="5"/>
        <v>30</v>
      </c>
      <c r="Y12" s="62">
        <f>-18+40</f>
        <v>22</v>
      </c>
      <c r="Z12" s="143">
        <f>8+17+5</f>
        <v>30</v>
      </c>
      <c r="AA12" s="13">
        <f t="shared" si="27"/>
        <v>22</v>
      </c>
      <c r="AB12" s="62"/>
      <c r="AC12" s="143"/>
      <c r="AD12" s="13">
        <f t="shared" si="28"/>
        <v>22</v>
      </c>
      <c r="AE12" s="61">
        <f>-12+20+20+12</f>
        <v>40</v>
      </c>
      <c r="AF12" s="143">
        <v>22</v>
      </c>
      <c r="AG12" s="13">
        <f t="shared" si="29"/>
        <v>40</v>
      </c>
      <c r="AH12" s="61">
        <v>40</v>
      </c>
      <c r="AI12" s="199">
        <v>9</v>
      </c>
      <c r="AJ12" s="13">
        <f t="shared" si="30"/>
        <v>71</v>
      </c>
      <c r="AK12" s="62">
        <f>-4+40+44</f>
        <v>80</v>
      </c>
      <c r="AL12" s="143">
        <f>7+64</f>
        <v>71</v>
      </c>
      <c r="AM12" s="13">
        <f t="shared" si="6"/>
        <v>80</v>
      </c>
      <c r="AN12" s="61"/>
      <c r="AO12" s="143"/>
      <c r="AP12" s="13">
        <f t="shared" si="7"/>
        <v>80</v>
      </c>
      <c r="AQ12" s="62"/>
      <c r="AR12" s="143">
        <f>6+31</f>
        <v>37</v>
      </c>
      <c r="AS12" s="13">
        <f t="shared" si="8"/>
        <v>43</v>
      </c>
      <c r="AT12" s="61">
        <v>40</v>
      </c>
      <c r="AU12" s="143">
        <f>5+29</f>
        <v>34</v>
      </c>
      <c r="AV12" s="13">
        <f t="shared" si="9"/>
        <v>49</v>
      </c>
      <c r="AW12" s="62"/>
      <c r="AX12" s="143"/>
      <c r="AY12" s="13">
        <f t="shared" si="10"/>
        <v>49</v>
      </c>
      <c r="AZ12" s="62">
        <v>20</v>
      </c>
      <c r="BA12" s="143">
        <f>5+25</f>
        <v>30</v>
      </c>
      <c r="BB12" s="13">
        <f t="shared" si="11"/>
        <v>39</v>
      </c>
      <c r="BC12" s="62">
        <v>40</v>
      </c>
      <c r="BD12" s="143">
        <f>4+17</f>
        <v>21</v>
      </c>
      <c r="BE12" s="13">
        <f t="shared" si="12"/>
        <v>58</v>
      </c>
      <c r="BF12" s="62">
        <v>20</v>
      </c>
      <c r="BG12" s="143">
        <f>6+41</f>
        <v>47</v>
      </c>
      <c r="BH12" s="13">
        <f t="shared" si="13"/>
        <v>31</v>
      </c>
      <c r="BI12" s="62"/>
      <c r="BJ12" s="143"/>
      <c r="BK12" s="13">
        <f t="shared" si="14"/>
        <v>31</v>
      </c>
      <c r="BL12" s="62">
        <v>40</v>
      </c>
      <c r="BM12" s="143">
        <f>6+8</f>
        <v>14</v>
      </c>
      <c r="BN12" s="13">
        <f t="shared" si="15"/>
        <v>57</v>
      </c>
      <c r="BO12" s="62">
        <v>20</v>
      </c>
      <c r="BP12" s="143">
        <v>33</v>
      </c>
      <c r="BQ12" s="13">
        <f t="shared" si="16"/>
        <v>44</v>
      </c>
      <c r="BR12" s="62"/>
      <c r="BS12" s="143"/>
      <c r="BT12" s="13">
        <f t="shared" si="17"/>
        <v>44</v>
      </c>
      <c r="BU12" s="62">
        <v>20</v>
      </c>
      <c r="BV12" s="143">
        <f>4+6</f>
        <v>10</v>
      </c>
      <c r="BW12" s="13">
        <f t="shared" si="18"/>
        <v>54</v>
      </c>
      <c r="BX12" s="62">
        <v>40</v>
      </c>
      <c r="BY12" s="143">
        <f>3+19</f>
        <v>22</v>
      </c>
      <c r="BZ12" s="13">
        <f t="shared" si="19"/>
        <v>72</v>
      </c>
      <c r="CA12" s="61">
        <f>20+12</f>
        <v>32</v>
      </c>
      <c r="CB12" s="143">
        <f>6+34</f>
        <v>40</v>
      </c>
      <c r="CC12" s="13">
        <f t="shared" si="20"/>
        <v>64</v>
      </c>
      <c r="CD12" s="62"/>
      <c r="CE12" s="143"/>
      <c r="CF12" s="13">
        <f t="shared" si="21"/>
        <v>64</v>
      </c>
      <c r="CG12" s="61">
        <v>20</v>
      </c>
      <c r="CH12" s="143">
        <f>4+24</f>
        <v>28</v>
      </c>
      <c r="CI12" s="13">
        <f t="shared" si="31"/>
        <v>56</v>
      </c>
      <c r="CJ12" s="62">
        <v>20</v>
      </c>
      <c r="CK12" s="143">
        <f>6+18</f>
        <v>24</v>
      </c>
      <c r="CL12" s="13">
        <f t="shared" si="32"/>
        <v>52</v>
      </c>
      <c r="CM12" s="61"/>
      <c r="CN12" s="143"/>
      <c r="CO12" s="13">
        <f t="shared" si="22"/>
        <v>52</v>
      </c>
      <c r="CP12" s="61">
        <v>40</v>
      </c>
      <c r="CQ12" s="143">
        <f>4+8</f>
        <v>12</v>
      </c>
      <c r="CR12" s="13">
        <f t="shared" si="33"/>
        <v>80</v>
      </c>
      <c r="CS12" s="62">
        <v>20</v>
      </c>
      <c r="CT12" s="143">
        <f>5+16</f>
        <v>21</v>
      </c>
      <c r="CU12" s="14">
        <f t="shared" si="23"/>
        <v>79</v>
      </c>
      <c r="CV12" s="5">
        <f t="shared" si="24"/>
        <v>614</v>
      </c>
      <c r="CW12" s="4">
        <f t="shared" si="24"/>
        <v>639</v>
      </c>
      <c r="CX12" s="6">
        <f t="shared" si="25"/>
        <v>79</v>
      </c>
      <c r="CY12" s="162">
        <v>45</v>
      </c>
      <c r="CZ12" s="171">
        <f t="shared" si="26"/>
        <v>3555</v>
      </c>
      <c r="DB12" s="2">
        <f t="shared" si="34"/>
        <v>79</v>
      </c>
      <c r="DC12" s="61"/>
      <c r="DD12" s="143"/>
      <c r="DE12" s="149">
        <f t="shared" si="35"/>
        <v>79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3</v>
      </c>
      <c r="E13" s="34" t="s">
        <v>26</v>
      </c>
      <c r="F13" s="14">
        <v>13.5</v>
      </c>
      <c r="G13" s="62"/>
      <c r="H13" s="143">
        <f>1.25+1.25+1+1+1</f>
        <v>5.5</v>
      </c>
      <c r="I13" s="13">
        <f t="shared" si="0"/>
        <v>8</v>
      </c>
      <c r="J13" s="62"/>
      <c r="K13" s="143">
        <f>1.75+1+1+1</f>
        <v>4.75</v>
      </c>
      <c r="L13" s="13">
        <f t="shared" si="1"/>
        <v>3.25</v>
      </c>
      <c r="M13" s="62">
        <v>6</v>
      </c>
      <c r="N13" s="143"/>
      <c r="O13" s="13">
        <f t="shared" si="2"/>
        <v>9.25</v>
      </c>
      <c r="P13" s="62"/>
      <c r="Q13" s="143">
        <f>2</f>
        <v>2</v>
      </c>
      <c r="R13" s="30">
        <f t="shared" si="3"/>
        <v>7.25</v>
      </c>
      <c r="S13" s="62"/>
      <c r="T13" s="143"/>
      <c r="U13" s="13">
        <f t="shared" si="4"/>
        <v>7.25</v>
      </c>
      <c r="V13" s="62">
        <v>5</v>
      </c>
      <c r="W13" s="143">
        <f>0.5+2</f>
        <v>2.5</v>
      </c>
      <c r="X13" s="13">
        <f t="shared" si="5"/>
        <v>9.75</v>
      </c>
      <c r="Y13" s="62">
        <v>6</v>
      </c>
      <c r="Z13" s="143">
        <f>1.25+3.25+1</f>
        <v>5.5</v>
      </c>
      <c r="AA13" s="13">
        <f t="shared" si="27"/>
        <v>10.25</v>
      </c>
      <c r="AB13" s="62"/>
      <c r="AC13" s="143">
        <f>4.25</f>
        <v>4.25</v>
      </c>
      <c r="AD13" s="13">
        <f t="shared" si="28"/>
        <v>6</v>
      </c>
      <c r="AE13" s="61"/>
      <c r="AF13" s="143">
        <f>1+1</f>
        <v>2</v>
      </c>
      <c r="AG13" s="13">
        <f t="shared" si="29"/>
        <v>4</v>
      </c>
      <c r="AH13" s="61"/>
      <c r="AI13" s="199">
        <f>0.25+2</f>
        <v>2.25</v>
      </c>
      <c r="AJ13" s="13">
        <f t="shared" si="30"/>
        <v>1.75</v>
      </c>
      <c r="AK13" s="62"/>
      <c r="AL13" s="143">
        <v>1</v>
      </c>
      <c r="AM13" s="13">
        <f t="shared" si="6"/>
        <v>0.75</v>
      </c>
      <c r="AN13" s="61"/>
      <c r="AO13" s="143"/>
      <c r="AP13" s="13">
        <f t="shared" si="7"/>
        <v>0.75</v>
      </c>
      <c r="AQ13" s="62"/>
      <c r="AR13" s="143"/>
      <c r="AS13" s="13">
        <f t="shared" si="8"/>
        <v>0.75</v>
      </c>
      <c r="AT13" s="61">
        <v>12</v>
      </c>
      <c r="AU13" s="143">
        <f>1</f>
        <v>1</v>
      </c>
      <c r="AV13" s="13">
        <f t="shared" si="9"/>
        <v>11.75</v>
      </c>
      <c r="AW13" s="62"/>
      <c r="AX13" s="143">
        <f>0.75+1.5+0.75</f>
        <v>3</v>
      </c>
      <c r="AY13" s="13">
        <f t="shared" si="10"/>
        <v>8.75</v>
      </c>
      <c r="AZ13" s="62"/>
      <c r="BA13" s="143">
        <f>1.75+0.75+1</f>
        <v>3.5</v>
      </c>
      <c r="BB13" s="13">
        <f t="shared" si="11"/>
        <v>5.25</v>
      </c>
      <c r="BC13" s="62">
        <v>5</v>
      </c>
      <c r="BD13" s="143">
        <f>1</f>
        <v>1</v>
      </c>
      <c r="BE13" s="13">
        <f t="shared" si="12"/>
        <v>9.25</v>
      </c>
      <c r="BF13" s="62"/>
      <c r="BG13" s="143"/>
      <c r="BH13" s="13">
        <f t="shared" si="13"/>
        <v>9.25</v>
      </c>
      <c r="BI13" s="62"/>
      <c r="BJ13" s="143"/>
      <c r="BK13" s="13">
        <f t="shared" si="14"/>
        <v>9.25</v>
      </c>
      <c r="BL13" s="62">
        <v>6</v>
      </c>
      <c r="BM13" s="143">
        <f>1+2.75</f>
        <v>3.75</v>
      </c>
      <c r="BN13" s="13">
        <f t="shared" si="15"/>
        <v>11.5</v>
      </c>
      <c r="BO13" s="62">
        <v>6</v>
      </c>
      <c r="BP13" s="143">
        <f>1+2+1.5</f>
        <v>4.5</v>
      </c>
      <c r="BQ13" s="13">
        <f t="shared" si="16"/>
        <v>13</v>
      </c>
      <c r="BR13" s="62"/>
      <c r="BS13" s="143">
        <f>4</f>
        <v>4</v>
      </c>
      <c r="BT13" s="13">
        <f t="shared" si="17"/>
        <v>9</v>
      </c>
      <c r="BU13" s="62"/>
      <c r="BV13" s="143">
        <f>1.5+2</f>
        <v>3.5</v>
      </c>
      <c r="BW13" s="13">
        <f t="shared" si="18"/>
        <v>5.5</v>
      </c>
      <c r="BX13" s="62"/>
      <c r="BY13" s="143">
        <f>1+0.25</f>
        <v>1.25</v>
      </c>
      <c r="BZ13" s="13">
        <f t="shared" si="19"/>
        <v>4.25</v>
      </c>
      <c r="CA13" s="61">
        <v>6</v>
      </c>
      <c r="CB13" s="143"/>
      <c r="CC13" s="13">
        <f t="shared" si="20"/>
        <v>10.25</v>
      </c>
      <c r="CD13" s="62"/>
      <c r="CE13" s="143"/>
      <c r="CF13" s="13">
        <f t="shared" si="21"/>
        <v>10.25</v>
      </c>
      <c r="CG13" s="61"/>
      <c r="CH13" s="143">
        <f>2.5+1.5</f>
        <v>4</v>
      </c>
      <c r="CI13" s="13">
        <f>CF13+CG13-CH13</f>
        <v>6.25</v>
      </c>
      <c r="CJ13" s="62">
        <v>6</v>
      </c>
      <c r="CK13" s="143"/>
      <c r="CL13" s="13">
        <f>CI13+CJ13-CK13</f>
        <v>12.25</v>
      </c>
      <c r="CM13" s="61"/>
      <c r="CN13" s="143">
        <f>2+1</f>
        <v>3</v>
      </c>
      <c r="CO13" s="13">
        <f t="shared" si="22"/>
        <v>9.25</v>
      </c>
      <c r="CP13" s="61">
        <v>6</v>
      </c>
      <c r="CQ13" s="143">
        <f>2+1+0.25+0.5+1+1+1</f>
        <v>6.75</v>
      </c>
      <c r="CR13" s="13">
        <f t="shared" si="33"/>
        <v>8.5</v>
      </c>
      <c r="CS13" s="62"/>
      <c r="CT13" s="143">
        <f>0.25</f>
        <v>0.25</v>
      </c>
      <c r="CU13" s="14">
        <f t="shared" si="23"/>
        <v>8.25</v>
      </c>
      <c r="CV13" s="5">
        <f t="shared" si="24"/>
        <v>64</v>
      </c>
      <c r="CW13" s="4">
        <f t="shared" si="24"/>
        <v>69.25</v>
      </c>
      <c r="CX13" s="6">
        <f t="shared" si="25"/>
        <v>8.25</v>
      </c>
      <c r="CY13" s="162">
        <v>433</v>
      </c>
      <c r="CZ13" s="171">
        <f t="shared" si="26"/>
        <v>3572.25</v>
      </c>
      <c r="DB13" s="2">
        <f t="shared" si="34"/>
        <v>8.25</v>
      </c>
      <c r="DC13" s="61"/>
      <c r="DD13" s="143"/>
      <c r="DE13" s="149">
        <f t="shared" si="35"/>
        <v>8.25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16.5</v>
      </c>
      <c r="G14" s="62"/>
      <c r="H14" s="143">
        <f>1.5+1+1+1.5</f>
        <v>5</v>
      </c>
      <c r="I14" s="13">
        <f t="shared" si="0"/>
        <v>11.5</v>
      </c>
      <c r="J14" s="62">
        <f>-12+32</f>
        <v>20</v>
      </c>
      <c r="K14" s="143">
        <f>2+8+1</f>
        <v>11</v>
      </c>
      <c r="L14" s="13">
        <f t="shared" si="1"/>
        <v>20.5</v>
      </c>
      <c r="M14" s="62">
        <v>8</v>
      </c>
      <c r="N14" s="143">
        <f>0.5+2</f>
        <v>2.5</v>
      </c>
      <c r="O14" s="13">
        <f t="shared" si="2"/>
        <v>26</v>
      </c>
      <c r="P14" s="62">
        <v>16</v>
      </c>
      <c r="Q14" s="143">
        <f>19</f>
        <v>19</v>
      </c>
      <c r="R14" s="30">
        <f t="shared" si="3"/>
        <v>23</v>
      </c>
      <c r="S14" s="62"/>
      <c r="T14" s="143"/>
      <c r="U14" s="13">
        <f t="shared" si="4"/>
        <v>23</v>
      </c>
      <c r="V14" s="62">
        <v>16</v>
      </c>
      <c r="W14" s="143">
        <f>1+9</f>
        <v>10</v>
      </c>
      <c r="X14" s="13">
        <f t="shared" si="5"/>
        <v>29</v>
      </c>
      <c r="Y14" s="62">
        <f>-6+32</f>
        <v>26</v>
      </c>
      <c r="Z14" s="143">
        <f>2+3+24</f>
        <v>29</v>
      </c>
      <c r="AA14" s="13">
        <f t="shared" si="27"/>
        <v>26</v>
      </c>
      <c r="AB14" s="62"/>
      <c r="AC14" s="143">
        <f>3+1.5</f>
        <v>4.5</v>
      </c>
      <c r="AD14" s="13">
        <f t="shared" si="28"/>
        <v>21.5</v>
      </c>
      <c r="AE14" s="61">
        <v>24</v>
      </c>
      <c r="AF14" s="143">
        <f>2.5+2+3+12</f>
        <v>19.5</v>
      </c>
      <c r="AG14" s="13">
        <f t="shared" si="29"/>
        <v>26</v>
      </c>
      <c r="AH14" s="61">
        <v>24</v>
      </c>
      <c r="AI14" s="199">
        <f>2+3+9</f>
        <v>14</v>
      </c>
      <c r="AJ14" s="13">
        <f t="shared" si="30"/>
        <v>36</v>
      </c>
      <c r="AK14" s="62">
        <v>32</v>
      </c>
      <c r="AL14" s="143">
        <f>19</f>
        <v>19</v>
      </c>
      <c r="AM14" s="13">
        <f t="shared" si="6"/>
        <v>49</v>
      </c>
      <c r="AN14" s="61"/>
      <c r="AO14" s="143"/>
      <c r="AP14" s="13">
        <f t="shared" si="7"/>
        <v>49</v>
      </c>
      <c r="AQ14" s="62"/>
      <c r="AR14" s="143">
        <f>12</f>
        <v>12</v>
      </c>
      <c r="AS14" s="13">
        <f t="shared" si="8"/>
        <v>37</v>
      </c>
      <c r="AT14" s="61">
        <v>32</v>
      </c>
      <c r="AU14" s="143">
        <f>1+2+2+1+1+1+2+23</f>
        <v>33</v>
      </c>
      <c r="AV14" s="13">
        <f t="shared" si="9"/>
        <v>36</v>
      </c>
      <c r="AW14" s="62"/>
      <c r="AX14" s="143">
        <f>1.5+1+1+0.5+1+1</f>
        <v>6</v>
      </c>
      <c r="AY14" s="180">
        <f t="shared" si="10"/>
        <v>30</v>
      </c>
      <c r="AZ14" s="62">
        <v>16</v>
      </c>
      <c r="BA14" s="143">
        <f>2+1.5+2+1.5+1+1.5+12</f>
        <v>21.5</v>
      </c>
      <c r="BB14" s="13">
        <f t="shared" si="11"/>
        <v>24.5</v>
      </c>
      <c r="BC14" s="62">
        <v>24</v>
      </c>
      <c r="BD14" s="143">
        <f>4+0.5+0.5+0.5+0.5+0.5+12</f>
        <v>18.5</v>
      </c>
      <c r="BE14" s="13">
        <f t="shared" si="12"/>
        <v>30</v>
      </c>
      <c r="BF14" s="62">
        <v>24</v>
      </c>
      <c r="BG14" s="143">
        <f>24</f>
        <v>24</v>
      </c>
      <c r="BH14" s="13">
        <f t="shared" si="13"/>
        <v>30</v>
      </c>
      <c r="BI14" s="62"/>
      <c r="BJ14" s="143"/>
      <c r="BK14" s="13">
        <f t="shared" si="14"/>
        <v>30</v>
      </c>
      <c r="BL14" s="62">
        <v>24</v>
      </c>
      <c r="BM14" s="143">
        <f>1.5+1+1+1+14</f>
        <v>18.5</v>
      </c>
      <c r="BN14" s="13">
        <f t="shared" si="15"/>
        <v>35.5</v>
      </c>
      <c r="BO14" s="62">
        <v>16</v>
      </c>
      <c r="BP14" s="143">
        <f>2+1.5+12</f>
        <v>15.5</v>
      </c>
      <c r="BQ14" s="13">
        <f t="shared" si="16"/>
        <v>36</v>
      </c>
      <c r="BR14" s="62"/>
      <c r="BS14" s="143">
        <f>1.5+2+1.5+1.5</f>
        <v>6.5</v>
      </c>
      <c r="BT14" s="13">
        <f t="shared" si="17"/>
        <v>29.5</v>
      </c>
      <c r="BU14" s="62">
        <v>8</v>
      </c>
      <c r="BV14" s="143">
        <f>2+2+2+8</f>
        <v>14</v>
      </c>
      <c r="BW14" s="13">
        <f t="shared" si="18"/>
        <v>23.5</v>
      </c>
      <c r="BX14" s="62">
        <v>8</v>
      </c>
      <c r="BY14" s="143">
        <f>1.5+0.5+6</f>
        <v>8</v>
      </c>
      <c r="BZ14" s="13">
        <f t="shared" si="19"/>
        <v>23.5</v>
      </c>
      <c r="CA14" s="61">
        <v>24</v>
      </c>
      <c r="CB14" s="143">
        <f>1+18</f>
        <v>19</v>
      </c>
      <c r="CC14" s="13">
        <f t="shared" si="20"/>
        <v>28.5</v>
      </c>
      <c r="CD14" s="62"/>
      <c r="CE14" s="143"/>
      <c r="CF14" s="13">
        <f t="shared" si="21"/>
        <v>28.5</v>
      </c>
      <c r="CG14" s="61">
        <v>24</v>
      </c>
      <c r="CH14" s="143">
        <f>2.5+1+1+1+1+2+9+1</f>
        <v>18.5</v>
      </c>
      <c r="CI14" s="13">
        <f t="shared" si="31"/>
        <v>34</v>
      </c>
      <c r="CJ14" s="62">
        <v>24</v>
      </c>
      <c r="CK14" s="143">
        <f>4+1.5+2+1.5+1+21</f>
        <v>31</v>
      </c>
      <c r="CL14" s="13">
        <f t="shared" si="32"/>
        <v>27</v>
      </c>
      <c r="CM14" s="61"/>
      <c r="CN14" s="143">
        <f>1.5+1.5+1+1+1</f>
        <v>6</v>
      </c>
      <c r="CO14" s="13">
        <f t="shared" si="22"/>
        <v>21</v>
      </c>
      <c r="CP14" s="61">
        <v>24</v>
      </c>
      <c r="CQ14" s="143">
        <f>2+1+16</f>
        <v>19</v>
      </c>
      <c r="CR14" s="13">
        <f t="shared" si="33"/>
        <v>26</v>
      </c>
      <c r="CS14" s="62">
        <v>8</v>
      </c>
      <c r="CT14" s="143">
        <f>0.5+0.5+0.5+3+13</f>
        <v>17.5</v>
      </c>
      <c r="CU14" s="14">
        <f t="shared" si="23"/>
        <v>16.5</v>
      </c>
      <c r="CV14" s="5">
        <f t="shared" si="24"/>
        <v>422</v>
      </c>
      <c r="CW14" s="4">
        <f t="shared" si="24"/>
        <v>422</v>
      </c>
      <c r="CX14" s="6">
        <f t="shared" si="25"/>
        <v>16.5</v>
      </c>
      <c r="CY14" s="162">
        <v>150</v>
      </c>
      <c r="CZ14" s="171">
        <f t="shared" si="26"/>
        <v>2475</v>
      </c>
      <c r="DB14" s="2">
        <f t="shared" si="34"/>
        <v>16.5</v>
      </c>
      <c r="DC14" s="61"/>
      <c r="DD14" s="143"/>
      <c r="DE14" s="149">
        <f t="shared" si="35"/>
        <v>16.5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43</v>
      </c>
      <c r="G15" s="62">
        <v>13</v>
      </c>
      <c r="H15" s="143"/>
      <c r="I15" s="13">
        <f t="shared" si="0"/>
        <v>56</v>
      </c>
      <c r="J15" s="62">
        <v>90</v>
      </c>
      <c r="K15" s="143">
        <f>20+9+4+7</f>
        <v>40</v>
      </c>
      <c r="L15" s="13">
        <f t="shared" si="1"/>
        <v>106</v>
      </c>
      <c r="M15" s="62">
        <v>45</v>
      </c>
      <c r="N15" s="143">
        <f>20+19</f>
        <v>39</v>
      </c>
      <c r="O15" s="13">
        <f t="shared" si="2"/>
        <v>112</v>
      </c>
      <c r="P15" s="62"/>
      <c r="Q15" s="143">
        <f>3</f>
        <v>3</v>
      </c>
      <c r="R15" s="30">
        <f t="shared" si="3"/>
        <v>109</v>
      </c>
      <c r="S15" s="62"/>
      <c r="T15" s="143"/>
      <c r="U15" s="13">
        <f t="shared" si="4"/>
        <v>109</v>
      </c>
      <c r="V15" s="62"/>
      <c r="W15" s="143">
        <f>9+9+11+7+11+2</f>
        <v>49</v>
      </c>
      <c r="X15" s="13">
        <f t="shared" si="5"/>
        <v>60</v>
      </c>
      <c r="Y15" s="62">
        <v>45</v>
      </c>
      <c r="Z15" s="143">
        <f>9+9+4+2</f>
        <v>24</v>
      </c>
      <c r="AA15" s="13">
        <f t="shared" si="27"/>
        <v>81</v>
      </c>
      <c r="AB15" s="64"/>
      <c r="AC15" s="143">
        <f>7+6+5+7</f>
        <v>25</v>
      </c>
      <c r="AD15" s="13">
        <f t="shared" si="28"/>
        <v>56</v>
      </c>
      <c r="AE15" s="61">
        <v>45</v>
      </c>
      <c r="AF15" s="143">
        <f>6+2+5+4</f>
        <v>17</v>
      </c>
      <c r="AG15" s="13">
        <f t="shared" si="29"/>
        <v>84</v>
      </c>
      <c r="AH15" s="202">
        <v>45</v>
      </c>
      <c r="AI15" s="199">
        <f>30+2</f>
        <v>32</v>
      </c>
      <c r="AJ15" s="13">
        <f t="shared" si="30"/>
        <v>97</v>
      </c>
      <c r="AK15" s="64"/>
      <c r="AL15" s="143"/>
      <c r="AM15" s="13">
        <f t="shared" si="6"/>
        <v>97</v>
      </c>
      <c r="AN15" s="202"/>
      <c r="AO15" s="143"/>
      <c r="AP15" s="13">
        <f t="shared" si="7"/>
        <v>97</v>
      </c>
      <c r="AQ15" s="62"/>
      <c r="AR15" s="143"/>
      <c r="AS15" s="13">
        <f t="shared" si="8"/>
        <v>97</v>
      </c>
      <c r="AT15" s="202">
        <v>45</v>
      </c>
      <c r="AU15" s="143">
        <f>9+7+4+7+7+20+1+2</f>
        <v>57</v>
      </c>
      <c r="AV15" s="13">
        <f t="shared" si="9"/>
        <v>85</v>
      </c>
      <c r="AW15" s="64"/>
      <c r="AX15" s="143">
        <f>9</f>
        <v>9</v>
      </c>
      <c r="AY15" s="13">
        <f t="shared" si="10"/>
        <v>76</v>
      </c>
      <c r="AZ15" s="62">
        <f>45+32</f>
        <v>77</v>
      </c>
      <c r="BA15" s="143">
        <f>9+4+5</f>
        <v>18</v>
      </c>
      <c r="BB15" s="13">
        <f t="shared" si="11"/>
        <v>135</v>
      </c>
      <c r="BC15" s="62"/>
      <c r="BD15" s="143">
        <f>10+19+4</f>
        <v>33</v>
      </c>
      <c r="BE15" s="13">
        <f t="shared" si="12"/>
        <v>102</v>
      </c>
      <c r="BF15" s="62"/>
      <c r="BG15" s="143">
        <f>7+7</f>
        <v>14</v>
      </c>
      <c r="BH15" s="13">
        <f t="shared" si="13"/>
        <v>88</v>
      </c>
      <c r="BI15" s="62"/>
      <c r="BJ15" s="143"/>
      <c r="BK15" s="13">
        <f t="shared" si="14"/>
        <v>88</v>
      </c>
      <c r="BL15" s="62">
        <v>90</v>
      </c>
      <c r="BM15" s="143">
        <f>8+3</f>
        <v>11</v>
      </c>
      <c r="BN15" s="13">
        <f t="shared" si="15"/>
        <v>167</v>
      </c>
      <c r="BO15" s="62"/>
      <c r="BP15" s="143">
        <f>20+7+9+7+4+4+4</f>
        <v>55</v>
      </c>
      <c r="BQ15" s="13">
        <f t="shared" si="16"/>
        <v>112</v>
      </c>
      <c r="BR15" s="62"/>
      <c r="BS15" s="143">
        <f>9+10</f>
        <v>19</v>
      </c>
      <c r="BT15" s="13">
        <f t="shared" si="17"/>
        <v>93</v>
      </c>
      <c r="BU15" s="62">
        <v>45</v>
      </c>
      <c r="BV15" s="143">
        <f>9+6+9+8+8</f>
        <v>40</v>
      </c>
      <c r="BW15" s="13">
        <f t="shared" si="18"/>
        <v>98</v>
      </c>
      <c r="BX15" s="62"/>
      <c r="BY15" s="143">
        <f>40+2</f>
        <v>42</v>
      </c>
      <c r="BZ15" s="13">
        <f t="shared" si="19"/>
        <v>56</v>
      </c>
      <c r="CA15" s="61">
        <v>45</v>
      </c>
      <c r="CB15" s="143">
        <f>2</f>
        <v>2</v>
      </c>
      <c r="CC15" s="13">
        <f t="shared" si="20"/>
        <v>99</v>
      </c>
      <c r="CD15" s="62"/>
      <c r="CE15" s="143"/>
      <c r="CF15" s="13">
        <f t="shared" si="21"/>
        <v>99</v>
      </c>
      <c r="CG15" s="61"/>
      <c r="CH15" s="143">
        <f>7+7+2</f>
        <v>16</v>
      </c>
      <c r="CI15" s="13">
        <f t="shared" si="31"/>
        <v>83</v>
      </c>
      <c r="CJ15" s="62"/>
      <c r="CK15" s="143">
        <f>4+7</f>
        <v>11</v>
      </c>
      <c r="CL15" s="13">
        <f t="shared" si="32"/>
        <v>72</v>
      </c>
      <c r="CM15" s="61"/>
      <c r="CN15" s="143">
        <f>9+4+9</f>
        <v>22</v>
      </c>
      <c r="CO15" s="13">
        <f t="shared" si="22"/>
        <v>50</v>
      </c>
      <c r="CP15" s="61">
        <v>45</v>
      </c>
      <c r="CQ15" s="143">
        <f>9+5+4+8+7</f>
        <v>33</v>
      </c>
      <c r="CR15" s="13">
        <f t="shared" si="33"/>
        <v>62</v>
      </c>
      <c r="CS15" s="62">
        <v>20</v>
      </c>
      <c r="CT15" s="143">
        <f>13+2+2+1+30</f>
        <v>48</v>
      </c>
      <c r="CU15" s="14">
        <f t="shared" si="23"/>
        <v>34</v>
      </c>
      <c r="CV15" s="5">
        <f t="shared" si="24"/>
        <v>650</v>
      </c>
      <c r="CW15" s="4">
        <f t="shared" si="24"/>
        <v>659</v>
      </c>
      <c r="CX15" s="6">
        <f t="shared" si="25"/>
        <v>34</v>
      </c>
      <c r="CY15" s="162">
        <v>84</v>
      </c>
      <c r="CZ15" s="171">
        <f t="shared" si="26"/>
        <v>2856</v>
      </c>
      <c r="DB15" s="2">
        <f t="shared" si="34"/>
        <v>34</v>
      </c>
      <c r="DC15" s="61"/>
      <c r="DD15" s="143"/>
      <c r="DE15" s="149">
        <f t="shared" si="35"/>
        <v>34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19</v>
      </c>
      <c r="G16" s="176"/>
      <c r="H16" s="143">
        <f>10</f>
        <v>10</v>
      </c>
      <c r="I16" s="13">
        <f t="shared" si="0"/>
        <v>9</v>
      </c>
      <c r="J16" s="176">
        <f>25</f>
        <v>25</v>
      </c>
      <c r="K16" s="143">
        <f>3+2+2</f>
        <v>7</v>
      </c>
      <c r="L16" s="13">
        <f t="shared" si="1"/>
        <v>27</v>
      </c>
      <c r="M16" s="176"/>
      <c r="N16" s="143">
        <f>2</f>
        <v>2</v>
      </c>
      <c r="O16" s="13">
        <f t="shared" si="2"/>
        <v>25</v>
      </c>
      <c r="P16" s="176">
        <v>9</v>
      </c>
      <c r="Q16" s="143">
        <v>8</v>
      </c>
      <c r="R16" s="30">
        <f t="shared" si="3"/>
        <v>26</v>
      </c>
      <c r="S16" s="176"/>
      <c r="T16" s="143"/>
      <c r="U16" s="13">
        <f t="shared" si="4"/>
        <v>26</v>
      </c>
      <c r="V16" s="176">
        <v>15</v>
      </c>
      <c r="W16" s="143">
        <f>7+4+3+4+2</f>
        <v>20</v>
      </c>
      <c r="X16" s="13">
        <f t="shared" si="5"/>
        <v>21</v>
      </c>
      <c r="Y16" s="176">
        <v>15</v>
      </c>
      <c r="Z16" s="143">
        <f>7+6</f>
        <v>13</v>
      </c>
      <c r="AA16" s="13">
        <f t="shared" si="27"/>
        <v>23</v>
      </c>
      <c r="AB16" s="176"/>
      <c r="AC16" s="143">
        <f>7+4+4</f>
        <v>15</v>
      </c>
      <c r="AD16" s="13">
        <f t="shared" si="28"/>
        <v>8</v>
      </c>
      <c r="AE16" s="63">
        <v>5</v>
      </c>
      <c r="AF16" s="143"/>
      <c r="AG16" s="13">
        <f t="shared" si="29"/>
        <v>13</v>
      </c>
      <c r="AH16" s="63">
        <v>14</v>
      </c>
      <c r="AI16" s="199">
        <f>1+2+1+1+2</f>
        <v>7</v>
      </c>
      <c r="AJ16" s="13">
        <f t="shared" si="30"/>
        <v>20</v>
      </c>
      <c r="AK16" s="208">
        <f>4-4</f>
        <v>0</v>
      </c>
      <c r="AL16" s="143">
        <f>10+4</f>
        <v>14</v>
      </c>
      <c r="AM16" s="13">
        <f t="shared" si="6"/>
        <v>6</v>
      </c>
      <c r="AN16" s="63"/>
      <c r="AO16" s="143"/>
      <c r="AP16" s="13">
        <f t="shared" si="7"/>
        <v>6</v>
      </c>
      <c r="AQ16" s="176"/>
      <c r="AR16" s="190">
        <f>2</f>
        <v>2</v>
      </c>
      <c r="AS16" s="13">
        <f t="shared" si="8"/>
        <v>4</v>
      </c>
      <c r="AT16" s="63">
        <f>30-4</f>
        <v>26</v>
      </c>
      <c r="AU16" s="143"/>
      <c r="AV16" s="13">
        <f t="shared" si="9"/>
        <v>30</v>
      </c>
      <c r="AW16" s="176"/>
      <c r="AX16" s="143">
        <f>10</f>
        <v>10</v>
      </c>
      <c r="AY16" s="13">
        <f t="shared" si="10"/>
        <v>20</v>
      </c>
      <c r="AZ16" s="176">
        <v>7</v>
      </c>
      <c r="BA16" s="143">
        <f>4+5+3+2</f>
        <v>14</v>
      </c>
      <c r="BB16" s="13">
        <f t="shared" si="11"/>
        <v>13</v>
      </c>
      <c r="BC16" s="176"/>
      <c r="BD16" s="143">
        <f>1+1+1</f>
        <v>3</v>
      </c>
      <c r="BE16" s="13">
        <f t="shared" si="12"/>
        <v>10</v>
      </c>
      <c r="BF16" s="176">
        <v>25</v>
      </c>
      <c r="BG16" s="143">
        <v>6</v>
      </c>
      <c r="BH16" s="13">
        <f t="shared" si="13"/>
        <v>29</v>
      </c>
      <c r="BI16" s="176"/>
      <c r="BJ16" s="143"/>
      <c r="BK16" s="13">
        <f t="shared" si="14"/>
        <v>29</v>
      </c>
      <c r="BL16" s="176">
        <v>9</v>
      </c>
      <c r="BM16" s="143">
        <f>7+5+5+4</f>
        <v>21</v>
      </c>
      <c r="BN16" s="13">
        <f t="shared" si="15"/>
        <v>17</v>
      </c>
      <c r="BO16" s="176">
        <f>1+10</f>
        <v>11</v>
      </c>
      <c r="BP16" s="143">
        <f>7</f>
        <v>7</v>
      </c>
      <c r="BQ16" s="13">
        <f t="shared" si="16"/>
        <v>21</v>
      </c>
      <c r="BR16" s="176"/>
      <c r="BS16" s="143">
        <f>7</f>
        <v>7</v>
      </c>
      <c r="BT16" s="13">
        <f t="shared" si="17"/>
        <v>14</v>
      </c>
      <c r="BU16" s="176">
        <v>9</v>
      </c>
      <c r="BV16" s="143">
        <f>3</f>
        <v>3</v>
      </c>
      <c r="BW16" s="13">
        <f t="shared" si="18"/>
        <v>20</v>
      </c>
      <c r="BX16" s="176">
        <v>5</v>
      </c>
      <c r="BY16" s="143">
        <f>4+1+2+1+1+2</f>
        <v>11</v>
      </c>
      <c r="BZ16" s="13">
        <f t="shared" si="19"/>
        <v>14</v>
      </c>
      <c r="CA16" s="63">
        <v>40</v>
      </c>
      <c r="CB16" s="143">
        <f>4+2</f>
        <v>6</v>
      </c>
      <c r="CC16" s="13">
        <f t="shared" si="20"/>
        <v>48</v>
      </c>
      <c r="CD16" s="176"/>
      <c r="CE16" s="143"/>
      <c r="CF16" s="13">
        <f t="shared" si="21"/>
        <v>48</v>
      </c>
      <c r="CG16" s="63">
        <v>7</v>
      </c>
      <c r="CH16" s="143">
        <f>21+5+10+3+2</f>
        <v>41</v>
      </c>
      <c r="CI16" s="13">
        <f t="shared" si="31"/>
        <v>14</v>
      </c>
      <c r="CJ16" s="176">
        <v>25</v>
      </c>
      <c r="CK16" s="143">
        <f>6+2</f>
        <v>8</v>
      </c>
      <c r="CL16" s="13">
        <f t="shared" si="32"/>
        <v>31</v>
      </c>
      <c r="CM16" s="63"/>
      <c r="CN16" s="143">
        <f>3+10</f>
        <v>13</v>
      </c>
      <c r="CO16" s="13">
        <f t="shared" si="22"/>
        <v>18</v>
      </c>
      <c r="CP16" s="63">
        <v>12</v>
      </c>
      <c r="CQ16" s="143">
        <f>4+5+2</f>
        <v>11</v>
      </c>
      <c r="CR16" s="13">
        <f t="shared" si="33"/>
        <v>19</v>
      </c>
      <c r="CS16" s="176">
        <v>4</v>
      </c>
      <c r="CT16" s="143">
        <f>7+1+1+4</f>
        <v>13</v>
      </c>
      <c r="CU16" s="14">
        <f t="shared" si="23"/>
        <v>10</v>
      </c>
      <c r="CV16" s="5">
        <f t="shared" si="24"/>
        <v>263</v>
      </c>
      <c r="CW16" s="4">
        <f t="shared" si="24"/>
        <v>272</v>
      </c>
      <c r="CX16" s="6">
        <f t="shared" si="25"/>
        <v>10</v>
      </c>
      <c r="CY16" s="162">
        <v>120</v>
      </c>
      <c r="CZ16" s="171">
        <f t="shared" si="26"/>
        <v>1200</v>
      </c>
      <c r="DB16" s="2">
        <f t="shared" si="34"/>
        <v>10</v>
      </c>
      <c r="DC16" s="63"/>
      <c r="DD16" s="143"/>
      <c r="DE16" s="149">
        <f t="shared" si="35"/>
        <v>10</v>
      </c>
    </row>
    <row r="17" spans="1:109" ht="15.75" customHeight="1">
      <c r="A17" s="33"/>
      <c r="B17" s="49" t="s">
        <v>46</v>
      </c>
      <c r="C17" s="108" t="s">
        <v>47</v>
      </c>
      <c r="D17" s="52" t="s">
        <v>57</v>
      </c>
      <c r="E17" s="52" t="s">
        <v>47</v>
      </c>
      <c r="F17" s="14">
        <v>29</v>
      </c>
      <c r="G17" s="62"/>
      <c r="H17" s="143"/>
      <c r="I17" s="13">
        <f t="shared" si="0"/>
        <v>29</v>
      </c>
      <c r="J17" s="62">
        <f>15+10</f>
        <v>25</v>
      </c>
      <c r="K17" s="143">
        <f>3+22+2</f>
        <v>27</v>
      </c>
      <c r="L17" s="13">
        <f t="shared" si="1"/>
        <v>27</v>
      </c>
      <c r="M17" s="62">
        <f>15+10+12</f>
        <v>37</v>
      </c>
      <c r="N17" s="143">
        <f>2+23</f>
        <v>25</v>
      </c>
      <c r="O17" s="13">
        <f t="shared" si="2"/>
        <v>39</v>
      </c>
      <c r="P17" s="62">
        <f>-28+15+31+10</f>
        <v>28</v>
      </c>
      <c r="Q17" s="143">
        <f>4+35</f>
        <v>39</v>
      </c>
      <c r="R17" s="30">
        <f t="shared" si="3"/>
        <v>28</v>
      </c>
      <c r="S17" s="62"/>
      <c r="T17" s="143"/>
      <c r="U17" s="13">
        <f t="shared" si="4"/>
        <v>28</v>
      </c>
      <c r="V17" s="62">
        <f>15+10</f>
        <v>25</v>
      </c>
      <c r="W17" s="143">
        <f>3+12</f>
        <v>15</v>
      </c>
      <c r="X17" s="13">
        <f t="shared" si="5"/>
        <v>38</v>
      </c>
      <c r="Y17" s="62">
        <f>15+10+10</f>
        <v>35</v>
      </c>
      <c r="Z17" s="143">
        <f>6+31</f>
        <v>37</v>
      </c>
      <c r="AA17" s="13">
        <f t="shared" si="27"/>
        <v>36</v>
      </c>
      <c r="AB17" s="62"/>
      <c r="AC17" s="143"/>
      <c r="AD17" s="13">
        <f t="shared" si="28"/>
        <v>36</v>
      </c>
      <c r="AE17" s="61">
        <v>15</v>
      </c>
      <c r="AF17" s="143">
        <v>17</v>
      </c>
      <c r="AG17" s="13">
        <f t="shared" si="29"/>
        <v>34</v>
      </c>
      <c r="AH17" s="61">
        <f>15+15+10</f>
        <v>40</v>
      </c>
      <c r="AI17" s="199">
        <v>22</v>
      </c>
      <c r="AJ17" s="13">
        <f t="shared" si="30"/>
        <v>52</v>
      </c>
      <c r="AK17" s="62">
        <f>15+20+20+10</f>
        <v>65</v>
      </c>
      <c r="AL17" s="143">
        <f>4+44</f>
        <v>48</v>
      </c>
      <c r="AM17" s="13">
        <f t="shared" si="6"/>
        <v>69</v>
      </c>
      <c r="AN17" s="61"/>
      <c r="AO17" s="143"/>
      <c r="AP17" s="13">
        <f t="shared" si="7"/>
        <v>69</v>
      </c>
      <c r="AQ17" s="62"/>
      <c r="AR17" s="143">
        <f>5+37</f>
        <v>42</v>
      </c>
      <c r="AS17" s="13">
        <f t="shared" si="8"/>
        <v>27</v>
      </c>
      <c r="AT17" s="61">
        <f>-11+15+15+10+1</f>
        <v>30</v>
      </c>
      <c r="AU17" s="143">
        <f>4+23</f>
        <v>27</v>
      </c>
      <c r="AV17" s="13">
        <f t="shared" si="9"/>
        <v>30</v>
      </c>
      <c r="AW17" s="62"/>
      <c r="AX17" s="143"/>
      <c r="AY17" s="13">
        <f t="shared" si="10"/>
        <v>30</v>
      </c>
      <c r="AZ17" s="62">
        <v>15</v>
      </c>
      <c r="BA17" s="143">
        <f>5+9</f>
        <v>14</v>
      </c>
      <c r="BB17" s="13">
        <f t="shared" si="11"/>
        <v>31</v>
      </c>
      <c r="BC17" s="62">
        <f>15+10+2</f>
        <v>27</v>
      </c>
      <c r="BD17" s="143">
        <v>10</v>
      </c>
      <c r="BE17" s="13">
        <f t="shared" si="12"/>
        <v>48</v>
      </c>
      <c r="BF17" s="62">
        <f>15+15</f>
        <v>30</v>
      </c>
      <c r="BG17" s="143">
        <f>3+44</f>
        <v>47</v>
      </c>
      <c r="BH17" s="13">
        <f t="shared" si="13"/>
        <v>31</v>
      </c>
      <c r="BI17" s="62"/>
      <c r="BJ17" s="143"/>
      <c r="BK17" s="13">
        <f t="shared" si="14"/>
        <v>31</v>
      </c>
      <c r="BL17" s="62">
        <f>10+15</f>
        <v>25</v>
      </c>
      <c r="BM17" s="143">
        <f>3+22</f>
        <v>25</v>
      </c>
      <c r="BN17" s="13">
        <f t="shared" si="15"/>
        <v>31</v>
      </c>
      <c r="BO17" s="62">
        <f>15+10</f>
        <v>25</v>
      </c>
      <c r="BP17" s="143">
        <f>28+1</f>
        <v>29</v>
      </c>
      <c r="BQ17" s="13">
        <f t="shared" si="16"/>
        <v>27</v>
      </c>
      <c r="BR17" s="62"/>
      <c r="BS17" s="143"/>
      <c r="BT17" s="13">
        <f t="shared" si="17"/>
        <v>27</v>
      </c>
      <c r="BU17" s="62">
        <f>15+10</f>
        <v>25</v>
      </c>
      <c r="BV17" s="143">
        <f>4+18</f>
        <v>22</v>
      </c>
      <c r="BW17" s="13">
        <f t="shared" si="18"/>
        <v>30</v>
      </c>
      <c r="BX17" s="62">
        <f>15+15</f>
        <v>30</v>
      </c>
      <c r="BY17" s="143">
        <v>21</v>
      </c>
      <c r="BZ17" s="13">
        <f t="shared" si="19"/>
        <v>39</v>
      </c>
      <c r="CA17" s="61">
        <f>15-9+20</f>
        <v>26</v>
      </c>
      <c r="CB17" s="143">
        <f>6+33</f>
        <v>39</v>
      </c>
      <c r="CC17" s="13">
        <f t="shared" si="20"/>
        <v>26</v>
      </c>
      <c r="CD17" s="62"/>
      <c r="CE17" s="143"/>
      <c r="CF17" s="13">
        <f t="shared" si="21"/>
        <v>26</v>
      </c>
      <c r="CG17" s="61">
        <f>15+19</f>
        <v>34</v>
      </c>
      <c r="CH17" s="143">
        <f>3+22</f>
        <v>25</v>
      </c>
      <c r="CI17" s="13">
        <f t="shared" si="31"/>
        <v>35</v>
      </c>
      <c r="CJ17" s="62">
        <v>15</v>
      </c>
      <c r="CK17" s="143">
        <f>5+16</f>
        <v>21</v>
      </c>
      <c r="CL17" s="13">
        <f t="shared" si="32"/>
        <v>29</v>
      </c>
      <c r="CM17" s="61"/>
      <c r="CN17" s="143"/>
      <c r="CO17" s="13">
        <f t="shared" si="22"/>
        <v>29</v>
      </c>
      <c r="CP17" s="61">
        <v>15</v>
      </c>
      <c r="CQ17" s="143">
        <f>3+6</f>
        <v>9</v>
      </c>
      <c r="CR17" s="13">
        <f t="shared" si="33"/>
        <v>35</v>
      </c>
      <c r="CS17" s="62">
        <v>15</v>
      </c>
      <c r="CT17" s="143">
        <f>4+31</f>
        <v>35</v>
      </c>
      <c r="CU17" s="14">
        <f t="shared" si="23"/>
        <v>15</v>
      </c>
      <c r="CV17" s="5">
        <f t="shared" si="24"/>
        <v>582</v>
      </c>
      <c r="CW17" s="4">
        <f t="shared" si="24"/>
        <v>596</v>
      </c>
      <c r="CX17" s="6">
        <f t="shared" si="25"/>
        <v>15</v>
      </c>
      <c r="CY17" s="162">
        <v>200</v>
      </c>
      <c r="CZ17" s="171">
        <f t="shared" si="26"/>
        <v>3000</v>
      </c>
      <c r="DB17" s="2">
        <f t="shared" si="34"/>
        <v>15</v>
      </c>
      <c r="DC17" s="61"/>
      <c r="DD17" s="143"/>
      <c r="DE17" s="149">
        <f t="shared" si="35"/>
        <v>15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6.7999999999999989</v>
      </c>
      <c r="G18" s="62"/>
      <c r="H18" s="143">
        <f>1+1.2+1.4</f>
        <v>3.6</v>
      </c>
      <c r="I18" s="13">
        <f t="shared" si="0"/>
        <v>3.1999999999999988</v>
      </c>
      <c r="J18" s="62">
        <v>8</v>
      </c>
      <c r="K18" s="143">
        <f>3.2</f>
        <v>3.2</v>
      </c>
      <c r="L18" s="13">
        <f t="shared" si="1"/>
        <v>7.9999999999999991</v>
      </c>
      <c r="M18" s="62">
        <v>11.4</v>
      </c>
      <c r="N18" s="143">
        <f>1.1+5.6</f>
        <v>6.6999999999999993</v>
      </c>
      <c r="O18" s="13">
        <f t="shared" si="2"/>
        <v>12.7</v>
      </c>
      <c r="P18" s="62">
        <v>5</v>
      </c>
      <c r="Q18" s="143"/>
      <c r="R18" s="30">
        <f t="shared" si="3"/>
        <v>17.7</v>
      </c>
      <c r="S18" s="62"/>
      <c r="T18" s="143"/>
      <c r="U18" s="13">
        <f t="shared" si="4"/>
        <v>17.7</v>
      </c>
      <c r="V18" s="62">
        <v>5</v>
      </c>
      <c r="W18" s="143">
        <f>4.1+6.2+0.6+4.8+1.3</f>
        <v>17</v>
      </c>
      <c r="X18" s="13">
        <f t="shared" si="5"/>
        <v>5.6999999999999993</v>
      </c>
      <c r="Y18" s="62"/>
      <c r="Z18" s="143">
        <f>1.5+3.4</f>
        <v>4.9000000000000004</v>
      </c>
      <c r="AA18" s="13">
        <f t="shared" si="27"/>
        <v>0.79999999999999893</v>
      </c>
      <c r="AB18" s="62"/>
      <c r="AC18" s="143"/>
      <c r="AD18" s="13">
        <f t="shared" si="28"/>
        <v>0.79999999999999893</v>
      </c>
      <c r="AE18" s="61">
        <v>4</v>
      </c>
      <c r="AF18" s="143"/>
      <c r="AG18" s="13">
        <f t="shared" si="29"/>
        <v>4.7999999999999989</v>
      </c>
      <c r="AH18" s="183">
        <v>0.9</v>
      </c>
      <c r="AI18" s="199">
        <f>2.9+1.2</f>
        <v>4.0999999999999996</v>
      </c>
      <c r="AJ18" s="13">
        <f t="shared" si="30"/>
        <v>1.5999999999999996</v>
      </c>
      <c r="AK18" s="62">
        <v>4</v>
      </c>
      <c r="AL18" s="143"/>
      <c r="AM18" s="13">
        <f t="shared" si="6"/>
        <v>5.6</v>
      </c>
      <c r="AN18" s="202"/>
      <c r="AO18" s="143"/>
      <c r="AP18" s="13">
        <f t="shared" si="7"/>
        <v>5.6</v>
      </c>
      <c r="AQ18" s="62"/>
      <c r="AR18" s="143"/>
      <c r="AS18" s="13">
        <f t="shared" si="8"/>
        <v>5.6</v>
      </c>
      <c r="AT18" s="202">
        <v>4</v>
      </c>
      <c r="AU18" s="143">
        <f>1.6</f>
        <v>1.6</v>
      </c>
      <c r="AV18" s="13">
        <f t="shared" si="9"/>
        <v>8</v>
      </c>
      <c r="AW18" s="62"/>
      <c r="AX18" s="143">
        <f>0.9</f>
        <v>0.9</v>
      </c>
      <c r="AY18" s="13">
        <f t="shared" si="10"/>
        <v>7.1</v>
      </c>
      <c r="AZ18" s="62">
        <f>8+3</f>
        <v>11</v>
      </c>
      <c r="BA18" s="143">
        <f>4</f>
        <v>4</v>
      </c>
      <c r="BB18" s="13">
        <f t="shared" si="11"/>
        <v>14.100000000000001</v>
      </c>
      <c r="BC18" s="62">
        <f>8+2</f>
        <v>10</v>
      </c>
      <c r="BD18" s="143">
        <f>0.5</f>
        <v>0.5</v>
      </c>
      <c r="BE18" s="13">
        <f t="shared" si="12"/>
        <v>23.6</v>
      </c>
      <c r="BF18" s="62"/>
      <c r="BG18" s="143">
        <f>5.6+3.1</f>
        <v>8.6999999999999993</v>
      </c>
      <c r="BH18" s="13">
        <f t="shared" si="13"/>
        <v>14.900000000000002</v>
      </c>
      <c r="BI18" s="62"/>
      <c r="BJ18" s="143"/>
      <c r="BK18" s="13">
        <f t="shared" si="14"/>
        <v>14.900000000000002</v>
      </c>
      <c r="BL18" s="62">
        <v>8</v>
      </c>
      <c r="BM18" s="143">
        <f>4.1+1.7+1.4+1.4+4.5</f>
        <v>13.1</v>
      </c>
      <c r="BN18" s="13">
        <f t="shared" si="15"/>
        <v>9.8000000000000025</v>
      </c>
      <c r="BO18" s="62">
        <v>8</v>
      </c>
      <c r="BP18" s="143">
        <f>1.1</f>
        <v>1.1000000000000001</v>
      </c>
      <c r="BQ18" s="13">
        <f t="shared" si="16"/>
        <v>16.700000000000003</v>
      </c>
      <c r="BR18" s="62"/>
      <c r="BS18" s="143">
        <f>1.1+3.2</f>
        <v>4.3000000000000007</v>
      </c>
      <c r="BT18" s="13">
        <f t="shared" si="17"/>
        <v>12.400000000000002</v>
      </c>
      <c r="BU18" s="62"/>
      <c r="BV18" s="143">
        <f>5.2</f>
        <v>5.2</v>
      </c>
      <c r="BW18" s="13">
        <f t="shared" si="18"/>
        <v>7.200000000000002</v>
      </c>
      <c r="BX18" s="62"/>
      <c r="BY18" s="143">
        <f>1.3</f>
        <v>1.3</v>
      </c>
      <c r="BZ18" s="13">
        <f t="shared" si="19"/>
        <v>5.9000000000000021</v>
      </c>
      <c r="CA18" s="61"/>
      <c r="CB18" s="143"/>
      <c r="CC18" s="13">
        <f t="shared" si="20"/>
        <v>5.9000000000000021</v>
      </c>
      <c r="CD18" s="62"/>
      <c r="CE18" s="143"/>
      <c r="CF18" s="13">
        <f t="shared" si="21"/>
        <v>5.9000000000000021</v>
      </c>
      <c r="CG18" s="183">
        <v>4</v>
      </c>
      <c r="CH18" s="143"/>
      <c r="CI18" s="13">
        <f t="shared" si="31"/>
        <v>9.9000000000000021</v>
      </c>
      <c r="CJ18" s="62"/>
      <c r="CK18" s="143">
        <f>1.4+1.2+1.8</f>
        <v>4.3999999999999995</v>
      </c>
      <c r="CL18" s="13">
        <f t="shared" si="32"/>
        <v>5.5000000000000027</v>
      </c>
      <c r="CM18" s="61"/>
      <c r="CN18" s="143"/>
      <c r="CO18" s="13">
        <f t="shared" si="22"/>
        <v>5.5000000000000027</v>
      </c>
      <c r="CP18" s="61"/>
      <c r="CQ18" s="143">
        <f>1.5+2.5</f>
        <v>4</v>
      </c>
      <c r="CR18" s="13">
        <f t="shared" si="33"/>
        <v>1.5000000000000027</v>
      </c>
      <c r="CS18" s="62"/>
      <c r="CT18" s="143"/>
      <c r="CU18" s="14">
        <f t="shared" si="23"/>
        <v>1.5000000000000027</v>
      </c>
      <c r="CV18" s="5">
        <f t="shared" si="24"/>
        <v>83.3</v>
      </c>
      <c r="CW18" s="4">
        <f t="shared" si="24"/>
        <v>88.6</v>
      </c>
      <c r="CX18" s="6">
        <f t="shared" si="25"/>
        <v>1.5000000000000027</v>
      </c>
      <c r="CY18" s="162">
        <v>500</v>
      </c>
      <c r="CZ18" s="171">
        <f t="shared" si="26"/>
        <v>750.00000000000136</v>
      </c>
      <c r="DB18" s="2">
        <f t="shared" si="34"/>
        <v>1.5000000000000027</v>
      </c>
      <c r="DC18" s="61"/>
      <c r="DD18" s="143"/>
      <c r="DE18" s="149">
        <f t="shared" si="35"/>
        <v>1.5000000000000027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4.5999999999999996</v>
      </c>
      <c r="G19" s="62"/>
      <c r="H19" s="143"/>
      <c r="I19" s="13">
        <f t="shared" si="0"/>
        <v>4.5999999999999996</v>
      </c>
      <c r="J19" s="64">
        <v>2</v>
      </c>
      <c r="K19" s="143">
        <f>0.2+3.9</f>
        <v>4.0999999999999996</v>
      </c>
      <c r="L19" s="13">
        <f t="shared" si="1"/>
        <v>2.5</v>
      </c>
      <c r="M19" s="62">
        <v>0.2</v>
      </c>
      <c r="N19" s="143">
        <f>0.1+0.4</f>
        <v>0.5</v>
      </c>
      <c r="O19" s="13">
        <f t="shared" si="2"/>
        <v>2.2000000000000002</v>
      </c>
      <c r="P19" s="62">
        <v>5</v>
      </c>
      <c r="Q19" s="143"/>
      <c r="R19" s="30">
        <f t="shared" si="3"/>
        <v>7.2</v>
      </c>
      <c r="S19" s="62"/>
      <c r="T19" s="143"/>
      <c r="U19" s="13">
        <f t="shared" si="4"/>
        <v>7.2</v>
      </c>
      <c r="V19" s="62">
        <v>4</v>
      </c>
      <c r="W19" s="143">
        <f>6.1</f>
        <v>6.1</v>
      </c>
      <c r="X19" s="30">
        <f t="shared" si="5"/>
        <v>5.0999999999999996</v>
      </c>
      <c r="Y19" s="62"/>
      <c r="Z19" s="143">
        <v>3</v>
      </c>
      <c r="AA19" s="13">
        <f t="shared" si="27"/>
        <v>2.0999999999999996</v>
      </c>
      <c r="AB19" s="62"/>
      <c r="AC19" s="143"/>
      <c r="AD19" s="13">
        <f t="shared" si="28"/>
        <v>2.0999999999999996</v>
      </c>
      <c r="AE19" s="61"/>
      <c r="AF19" s="143"/>
      <c r="AG19" s="13">
        <f t="shared" si="29"/>
        <v>2.0999999999999996</v>
      </c>
      <c r="AH19" s="202">
        <v>8</v>
      </c>
      <c r="AI19" s="199"/>
      <c r="AJ19" s="13">
        <f t="shared" si="30"/>
        <v>10.1</v>
      </c>
      <c r="AK19" s="62"/>
      <c r="AL19" s="143"/>
      <c r="AM19" s="13">
        <f t="shared" si="6"/>
        <v>10.1</v>
      </c>
      <c r="AN19" s="202"/>
      <c r="AO19" s="143"/>
      <c r="AP19" s="13">
        <f t="shared" si="7"/>
        <v>10.1</v>
      </c>
      <c r="AQ19" s="62"/>
      <c r="AR19" s="143"/>
      <c r="AS19" s="13">
        <f t="shared" si="8"/>
        <v>10.1</v>
      </c>
      <c r="AT19" s="183"/>
      <c r="AU19" s="143">
        <f>1.1+5</f>
        <v>6.1</v>
      </c>
      <c r="AV19" s="13">
        <f t="shared" si="9"/>
        <v>4</v>
      </c>
      <c r="AW19" s="62"/>
      <c r="AX19" s="143"/>
      <c r="AY19" s="13">
        <f t="shared" si="10"/>
        <v>4</v>
      </c>
      <c r="AZ19" s="62"/>
      <c r="BA19" s="143"/>
      <c r="BB19" s="13">
        <f t="shared" si="11"/>
        <v>4</v>
      </c>
      <c r="BC19" s="62"/>
      <c r="BD19" s="143">
        <f>0.4</f>
        <v>0.4</v>
      </c>
      <c r="BE19" s="13">
        <f t="shared" si="12"/>
        <v>3.6</v>
      </c>
      <c r="BF19" s="62"/>
      <c r="BG19" s="143">
        <f>1.8</f>
        <v>1.8</v>
      </c>
      <c r="BH19" s="13">
        <f t="shared" si="13"/>
        <v>1.8</v>
      </c>
      <c r="BI19" s="62"/>
      <c r="BJ19" s="143"/>
      <c r="BK19" s="13">
        <f t="shared" si="14"/>
        <v>1.8</v>
      </c>
      <c r="BL19" s="62"/>
      <c r="BM19" s="143"/>
      <c r="BN19" s="13">
        <f t="shared" si="15"/>
        <v>1.8</v>
      </c>
      <c r="BO19" s="62"/>
      <c r="BP19" s="143"/>
      <c r="BQ19" s="13">
        <f t="shared" si="16"/>
        <v>1.8</v>
      </c>
      <c r="BR19" s="62"/>
      <c r="BS19" s="143"/>
      <c r="BT19" s="13">
        <f t="shared" si="17"/>
        <v>1.8</v>
      </c>
      <c r="BU19" s="62"/>
      <c r="BV19" s="143">
        <f>0.8</f>
        <v>0.8</v>
      </c>
      <c r="BW19" s="13">
        <f t="shared" si="18"/>
        <v>1</v>
      </c>
      <c r="BX19" s="62"/>
      <c r="BY19" s="143"/>
      <c r="BZ19" s="13">
        <f t="shared" si="19"/>
        <v>1</v>
      </c>
      <c r="CA19" s="61">
        <v>4</v>
      </c>
      <c r="CB19" s="143"/>
      <c r="CC19" s="13">
        <f t="shared" si="20"/>
        <v>5</v>
      </c>
      <c r="CD19" s="62"/>
      <c r="CE19" s="143"/>
      <c r="CF19" s="13">
        <f t="shared" si="21"/>
        <v>5</v>
      </c>
      <c r="CG19" s="183">
        <f>4+2</f>
        <v>6</v>
      </c>
      <c r="CH19" s="143">
        <v>0.6</v>
      </c>
      <c r="CI19" s="13">
        <f t="shared" si="31"/>
        <v>10.4</v>
      </c>
      <c r="CJ19" s="62"/>
      <c r="CK19" s="143">
        <v>4.9000000000000004</v>
      </c>
      <c r="CL19" s="13">
        <f t="shared" si="32"/>
        <v>5.5</v>
      </c>
      <c r="CM19" s="61"/>
      <c r="CN19" s="143">
        <f>2.7</f>
        <v>2.7</v>
      </c>
      <c r="CO19" s="13">
        <f t="shared" si="22"/>
        <v>2.8</v>
      </c>
      <c r="CP19" s="61"/>
      <c r="CQ19" s="143"/>
      <c r="CR19" s="13">
        <f>CO19+CP19-CQ19</f>
        <v>2.8</v>
      </c>
      <c r="CS19" s="62"/>
      <c r="CT19" s="143"/>
      <c r="CU19" s="14">
        <f t="shared" si="23"/>
        <v>2.8</v>
      </c>
      <c r="CV19" s="5">
        <f t="shared" si="24"/>
        <v>29.2</v>
      </c>
      <c r="CW19" s="4">
        <f t="shared" si="24"/>
        <v>30.999999999999996</v>
      </c>
      <c r="CX19" s="6">
        <f t="shared" si="25"/>
        <v>2.8</v>
      </c>
      <c r="CY19" s="162">
        <v>600</v>
      </c>
      <c r="CZ19" s="171">
        <f t="shared" si="26"/>
        <v>1680</v>
      </c>
      <c r="DB19" s="2">
        <f t="shared" si="34"/>
        <v>2.8</v>
      </c>
      <c r="DC19" s="61"/>
      <c r="DD19" s="143"/>
      <c r="DE19" s="149">
        <f t="shared" si="35"/>
        <v>2.8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1"/>
      <c r="AF20" s="143"/>
      <c r="AG20" s="13">
        <f t="shared" si="29"/>
        <v>0</v>
      </c>
      <c r="AH20" s="61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1"/>
      <c r="AO20" s="143"/>
      <c r="AP20" s="13">
        <f t="shared" si="7"/>
        <v>0</v>
      </c>
      <c r="AQ20" s="62"/>
      <c r="AR20" s="143"/>
      <c r="AS20" s="13">
        <f t="shared" si="8"/>
        <v>0</v>
      </c>
      <c r="AT20" s="61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1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1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1"/>
      <c r="CN20" s="143"/>
      <c r="CO20" s="13">
        <f t="shared" si="22"/>
        <v>0</v>
      </c>
      <c r="CP20" s="61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1"/>
      <c r="AF21" s="143"/>
      <c r="AG21" s="13">
        <f t="shared" si="29"/>
        <v>0</v>
      </c>
      <c r="AH21" s="61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1"/>
      <c r="AO21" s="143"/>
      <c r="AP21" s="13">
        <f t="shared" si="7"/>
        <v>0</v>
      </c>
      <c r="AQ21" s="62"/>
      <c r="AR21" s="143"/>
      <c r="AS21" s="13">
        <f t="shared" si="8"/>
        <v>0</v>
      </c>
      <c r="AT21" s="61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1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1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1"/>
      <c r="CN21" s="143"/>
      <c r="CO21" s="13">
        <f t="shared" si="22"/>
        <v>0</v>
      </c>
      <c r="CP21" s="61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7.4</v>
      </c>
      <c r="G22" s="62"/>
      <c r="H22" s="143">
        <f>0.5+2.3</f>
        <v>2.8</v>
      </c>
      <c r="I22" s="13">
        <f t="shared" si="0"/>
        <v>4.6000000000000005</v>
      </c>
      <c r="J22" s="62">
        <f>-0.8-1.9+10</f>
        <v>7.3</v>
      </c>
      <c r="K22" s="143">
        <f>4.5</f>
        <v>4.5</v>
      </c>
      <c r="L22" s="13">
        <f t="shared" si="1"/>
        <v>7.4</v>
      </c>
      <c r="M22" s="62">
        <v>10</v>
      </c>
      <c r="N22" s="143">
        <f>0.8+2.5</f>
        <v>3.3</v>
      </c>
      <c r="O22" s="13">
        <f t="shared" si="2"/>
        <v>14.099999999999998</v>
      </c>
      <c r="P22" s="62"/>
      <c r="Q22" s="143"/>
      <c r="R22" s="30">
        <f t="shared" si="3"/>
        <v>14.099999999999998</v>
      </c>
      <c r="S22" s="62"/>
      <c r="T22" s="143"/>
      <c r="U22" s="13">
        <f t="shared" si="4"/>
        <v>14.099999999999998</v>
      </c>
      <c r="V22" s="62"/>
      <c r="W22" s="143">
        <f>0.2</f>
        <v>0.2</v>
      </c>
      <c r="X22" s="13">
        <f t="shared" si="5"/>
        <v>13.899999999999999</v>
      </c>
      <c r="Y22" s="62">
        <v>10</v>
      </c>
      <c r="Z22" s="143">
        <f>4.5+2</f>
        <v>6.5</v>
      </c>
      <c r="AA22" s="13">
        <f t="shared" si="27"/>
        <v>17.399999999999999</v>
      </c>
      <c r="AB22" s="62"/>
      <c r="AC22" s="143">
        <f>0.2+2</f>
        <v>2.2000000000000002</v>
      </c>
      <c r="AD22" s="13">
        <f t="shared" si="28"/>
        <v>15.2</v>
      </c>
      <c r="AE22" s="61">
        <v>10</v>
      </c>
      <c r="AF22" s="143">
        <f>3.4+4.9+2+2.3</f>
        <v>12.600000000000001</v>
      </c>
      <c r="AG22" s="13">
        <f t="shared" si="29"/>
        <v>12.599999999999998</v>
      </c>
      <c r="AH22" s="61"/>
      <c r="AI22" s="143">
        <f>0.3</f>
        <v>0.3</v>
      </c>
      <c r="AJ22" s="13">
        <f t="shared" si="30"/>
        <v>12.299999999999997</v>
      </c>
      <c r="AK22" s="62"/>
      <c r="AL22" s="143"/>
      <c r="AM22" s="13">
        <f t="shared" si="6"/>
        <v>12.299999999999997</v>
      </c>
      <c r="AN22" s="61"/>
      <c r="AO22" s="143"/>
      <c r="AP22" s="13">
        <f t="shared" si="7"/>
        <v>12.299999999999997</v>
      </c>
      <c r="AQ22" s="62"/>
      <c r="AR22" s="143"/>
      <c r="AS22" s="13">
        <f t="shared" si="8"/>
        <v>12.299999999999997</v>
      </c>
      <c r="AT22" s="61">
        <v>10</v>
      </c>
      <c r="AU22" s="143">
        <f>1.7+0.5</f>
        <v>2.2000000000000002</v>
      </c>
      <c r="AV22" s="13">
        <f t="shared" si="9"/>
        <v>20.099999999999998</v>
      </c>
      <c r="AW22" s="62"/>
      <c r="AX22" s="143">
        <f>1.4+0.5</f>
        <v>1.9</v>
      </c>
      <c r="AY22" s="13">
        <f t="shared" si="10"/>
        <v>18.2</v>
      </c>
      <c r="AZ22" s="62"/>
      <c r="BA22" s="143">
        <f>5.4</f>
        <v>5.4</v>
      </c>
      <c r="BB22" s="13">
        <f t="shared" si="11"/>
        <v>12.799999999999999</v>
      </c>
      <c r="BC22" s="62"/>
      <c r="BD22" s="143">
        <f>0.9+2.5</f>
        <v>3.4</v>
      </c>
      <c r="BE22" s="13">
        <f t="shared" si="12"/>
        <v>9.3999999999999986</v>
      </c>
      <c r="BF22" s="62"/>
      <c r="BG22" s="143"/>
      <c r="BH22" s="13">
        <f t="shared" si="13"/>
        <v>9.3999999999999986</v>
      </c>
      <c r="BI22" s="62"/>
      <c r="BJ22" s="143"/>
      <c r="BK22" s="13">
        <f t="shared" si="14"/>
        <v>9.3999999999999986</v>
      </c>
      <c r="BL22" s="62">
        <v>10</v>
      </c>
      <c r="BM22" s="143">
        <f>1.9+2.5</f>
        <v>4.4000000000000004</v>
      </c>
      <c r="BN22" s="13">
        <f t="shared" si="15"/>
        <v>14.999999999999998</v>
      </c>
      <c r="BO22" s="62"/>
      <c r="BP22" s="143">
        <v>4.7</v>
      </c>
      <c r="BQ22" s="13">
        <f t="shared" si="16"/>
        <v>10.299999999999997</v>
      </c>
      <c r="BR22" s="62"/>
      <c r="BS22" s="143">
        <f>0.2</f>
        <v>0.2</v>
      </c>
      <c r="BT22" s="13">
        <f t="shared" si="17"/>
        <v>10.099999999999998</v>
      </c>
      <c r="BU22" s="62">
        <v>10</v>
      </c>
      <c r="BV22" s="143">
        <f>3.3+0.8</f>
        <v>4.0999999999999996</v>
      </c>
      <c r="BW22" s="13">
        <f t="shared" si="18"/>
        <v>15.999999999999998</v>
      </c>
      <c r="BX22" s="62"/>
      <c r="BY22" s="143">
        <f>0.4+0.8+2.1</f>
        <v>3.3000000000000003</v>
      </c>
      <c r="BZ22" s="13">
        <f t="shared" si="19"/>
        <v>12.699999999999998</v>
      </c>
      <c r="CA22" s="62">
        <v>10</v>
      </c>
      <c r="CB22" s="143">
        <f>1.9</f>
        <v>1.9</v>
      </c>
      <c r="CC22" s="13">
        <f t="shared" si="20"/>
        <v>20.799999999999997</v>
      </c>
      <c r="CD22" s="62"/>
      <c r="CE22" s="143"/>
      <c r="CF22" s="13">
        <f t="shared" si="21"/>
        <v>20.799999999999997</v>
      </c>
      <c r="CG22" s="62"/>
      <c r="CH22" s="143">
        <f>1.9+2.4</f>
        <v>4.3</v>
      </c>
      <c r="CI22" s="13">
        <f t="shared" si="31"/>
        <v>16.499999999999996</v>
      </c>
      <c r="CJ22" s="62"/>
      <c r="CK22" s="143">
        <f>2</f>
        <v>2</v>
      </c>
      <c r="CL22" s="13">
        <f t="shared" si="32"/>
        <v>14.499999999999996</v>
      </c>
      <c r="CM22" s="62"/>
      <c r="CN22" s="143">
        <f>1+0.5</f>
        <v>1.5</v>
      </c>
      <c r="CO22" s="13">
        <f t="shared" si="22"/>
        <v>12.999999999999996</v>
      </c>
      <c r="CP22" s="62">
        <v>10</v>
      </c>
      <c r="CQ22" s="143">
        <f>5.3+1.1+0.8</f>
        <v>7.2</v>
      </c>
      <c r="CR22" s="13">
        <f t="shared" si="33"/>
        <v>15.799999999999997</v>
      </c>
      <c r="CS22" s="62"/>
      <c r="CT22" s="143">
        <f>0.7+1.1+4+1</f>
        <v>6.8</v>
      </c>
      <c r="CU22" s="14">
        <f t="shared" si="23"/>
        <v>8.9999999999999964</v>
      </c>
      <c r="CV22" s="5">
        <f t="shared" si="24"/>
        <v>87.3</v>
      </c>
      <c r="CW22" s="4">
        <f t="shared" si="24"/>
        <v>85.699999999999989</v>
      </c>
      <c r="CX22" s="6">
        <f t="shared" si="25"/>
        <v>8.9999999999999964</v>
      </c>
      <c r="CY22" s="162">
        <v>250</v>
      </c>
      <c r="CZ22" s="171">
        <f t="shared" si="26"/>
        <v>2249.9999999999991</v>
      </c>
      <c r="DB22" s="2">
        <f t="shared" si="34"/>
        <v>8.9999999999999964</v>
      </c>
      <c r="DC22" s="62"/>
      <c r="DD22" s="143"/>
      <c r="DE22" s="149">
        <f t="shared" si="35"/>
        <v>8.9999999999999964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29</v>
      </c>
      <c r="G23" s="62"/>
      <c r="H23" s="143"/>
      <c r="I23" s="13">
        <f t="shared" si="0"/>
        <v>29</v>
      </c>
      <c r="J23" s="62">
        <v>30</v>
      </c>
      <c r="K23" s="143">
        <f>1+16</f>
        <v>17</v>
      </c>
      <c r="L23" s="13">
        <f t="shared" si="1"/>
        <v>42</v>
      </c>
      <c r="M23" s="62">
        <v>30</v>
      </c>
      <c r="N23" s="143">
        <v>18</v>
      </c>
      <c r="O23" s="13">
        <f t="shared" si="2"/>
        <v>54</v>
      </c>
      <c r="P23" s="62"/>
      <c r="Q23" s="143">
        <v>10</v>
      </c>
      <c r="R23" s="13">
        <f t="shared" si="3"/>
        <v>44</v>
      </c>
      <c r="S23" s="62"/>
      <c r="T23" s="143"/>
      <c r="U23" s="13">
        <f t="shared" si="4"/>
        <v>44</v>
      </c>
      <c r="V23" s="62"/>
      <c r="W23" s="143">
        <v>4</v>
      </c>
      <c r="X23" s="13">
        <f t="shared" si="5"/>
        <v>40</v>
      </c>
      <c r="Y23" s="62"/>
      <c r="Z23" s="143">
        <v>18</v>
      </c>
      <c r="AA23" s="13">
        <f t="shared" si="27"/>
        <v>22</v>
      </c>
      <c r="AB23" s="62"/>
      <c r="AC23" s="143"/>
      <c r="AD23" s="13">
        <f t="shared" si="28"/>
        <v>22</v>
      </c>
      <c r="AE23" s="61">
        <v>30</v>
      </c>
      <c r="AF23" s="143">
        <v>10</v>
      </c>
      <c r="AG23" s="13">
        <f t="shared" si="29"/>
        <v>42</v>
      </c>
      <c r="AH23" s="61"/>
      <c r="AI23" s="143">
        <v>8</v>
      </c>
      <c r="AJ23" s="13">
        <f t="shared" si="30"/>
        <v>34</v>
      </c>
      <c r="AK23" s="62">
        <v>30</v>
      </c>
      <c r="AL23" s="143">
        <f>8</f>
        <v>8</v>
      </c>
      <c r="AM23" s="13">
        <f t="shared" si="6"/>
        <v>56</v>
      </c>
      <c r="AN23" s="61"/>
      <c r="AO23" s="143"/>
      <c r="AP23" s="13">
        <f t="shared" si="7"/>
        <v>56</v>
      </c>
      <c r="AQ23" s="62"/>
      <c r="AR23" s="143">
        <v>10</v>
      </c>
      <c r="AS23" s="13">
        <f t="shared" si="8"/>
        <v>46</v>
      </c>
      <c r="AT23" s="61"/>
      <c r="AU23" s="143">
        <f>1+1+14</f>
        <v>16</v>
      </c>
      <c r="AV23" s="13">
        <f t="shared" si="9"/>
        <v>30</v>
      </c>
      <c r="AW23" s="62"/>
      <c r="AX23" s="143"/>
      <c r="AY23" s="13">
        <f t="shared" si="10"/>
        <v>30</v>
      </c>
      <c r="AZ23" s="62">
        <v>30</v>
      </c>
      <c r="BA23" s="143">
        <f>1+4</f>
        <v>5</v>
      </c>
      <c r="BB23" s="13">
        <f t="shared" si="11"/>
        <v>55</v>
      </c>
      <c r="BC23" s="62"/>
      <c r="BD23" s="143">
        <v>12</v>
      </c>
      <c r="BE23" s="13">
        <f t="shared" si="12"/>
        <v>43</v>
      </c>
      <c r="BF23" s="62"/>
      <c r="BG23" s="143">
        <v>14</v>
      </c>
      <c r="BH23" s="13">
        <f t="shared" si="13"/>
        <v>29</v>
      </c>
      <c r="BI23" s="62"/>
      <c r="BJ23" s="143"/>
      <c r="BK23" s="13">
        <f t="shared" si="14"/>
        <v>29</v>
      </c>
      <c r="BL23" s="62">
        <v>30</v>
      </c>
      <c r="BM23" s="143">
        <v>10</v>
      </c>
      <c r="BN23" s="13">
        <f t="shared" si="15"/>
        <v>49</v>
      </c>
      <c r="BO23" s="62"/>
      <c r="BP23" s="143">
        <v>6</v>
      </c>
      <c r="BQ23" s="13">
        <f t="shared" si="16"/>
        <v>43</v>
      </c>
      <c r="BR23" s="62"/>
      <c r="BS23" s="143"/>
      <c r="BT23" s="13">
        <f t="shared" si="17"/>
        <v>43</v>
      </c>
      <c r="BU23" s="62"/>
      <c r="BV23" s="143">
        <v>18</v>
      </c>
      <c r="BW23" s="13">
        <f t="shared" si="18"/>
        <v>25</v>
      </c>
      <c r="BX23" s="62">
        <v>30</v>
      </c>
      <c r="BY23" s="143">
        <f>1+12</f>
        <v>13</v>
      </c>
      <c r="BZ23" s="13">
        <f t="shared" si="19"/>
        <v>42</v>
      </c>
      <c r="CA23" s="61"/>
      <c r="CB23" s="143">
        <v>10</v>
      </c>
      <c r="CC23" s="13">
        <f t="shared" si="20"/>
        <v>32</v>
      </c>
      <c r="CD23" s="62"/>
      <c r="CE23" s="143"/>
      <c r="CF23" s="13">
        <f t="shared" si="21"/>
        <v>32</v>
      </c>
      <c r="CG23" s="61">
        <v>30</v>
      </c>
      <c r="CH23" s="143">
        <f>1+10+1</f>
        <v>12</v>
      </c>
      <c r="CI23" s="13">
        <f t="shared" si="31"/>
        <v>50</v>
      </c>
      <c r="CJ23" s="62"/>
      <c r="CK23" s="143">
        <v>6</v>
      </c>
      <c r="CL23" s="13">
        <f t="shared" si="32"/>
        <v>44</v>
      </c>
      <c r="CM23" s="61"/>
      <c r="CN23" s="143"/>
      <c r="CO23" s="13">
        <f t="shared" si="22"/>
        <v>44</v>
      </c>
      <c r="CP23" s="61"/>
      <c r="CQ23" s="143">
        <f>1+16</f>
        <v>17</v>
      </c>
      <c r="CR23" s="13">
        <f t="shared" si="33"/>
        <v>27</v>
      </c>
      <c r="CS23" s="62"/>
      <c r="CT23" s="143">
        <f>14</f>
        <v>14</v>
      </c>
      <c r="CU23" s="14">
        <f t="shared" si="23"/>
        <v>13</v>
      </c>
      <c r="CV23" s="5">
        <f t="shared" si="24"/>
        <v>240</v>
      </c>
      <c r="CW23" s="4">
        <f t="shared" si="24"/>
        <v>256</v>
      </c>
      <c r="CX23" s="6">
        <f t="shared" si="25"/>
        <v>13</v>
      </c>
      <c r="CY23" s="162">
        <v>180</v>
      </c>
      <c r="CZ23" s="171">
        <f t="shared" si="26"/>
        <v>2340</v>
      </c>
      <c r="DB23" s="2">
        <f t="shared" si="34"/>
        <v>13</v>
      </c>
      <c r="DC23" s="61"/>
      <c r="DD23" s="143"/>
      <c r="DE23" s="149">
        <f t="shared" si="35"/>
        <v>13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3</v>
      </c>
      <c r="G24" s="62"/>
      <c r="H24" s="143"/>
      <c r="I24" s="13">
        <f t="shared" si="0"/>
        <v>3</v>
      </c>
      <c r="J24" s="62"/>
      <c r="K24" s="143"/>
      <c r="L24" s="13">
        <f t="shared" si="1"/>
        <v>3</v>
      </c>
      <c r="M24" s="62"/>
      <c r="N24" s="143"/>
      <c r="O24" s="13">
        <f t="shared" si="2"/>
        <v>3</v>
      </c>
      <c r="P24" s="62"/>
      <c r="Q24" s="143"/>
      <c r="R24" s="30">
        <f t="shared" si="3"/>
        <v>3</v>
      </c>
      <c r="S24" s="62"/>
      <c r="T24" s="143"/>
      <c r="U24" s="13">
        <f t="shared" si="4"/>
        <v>3</v>
      </c>
      <c r="V24" s="62"/>
      <c r="W24" s="143"/>
      <c r="X24" s="13">
        <f t="shared" si="5"/>
        <v>3</v>
      </c>
      <c r="Y24" s="62"/>
      <c r="Z24" s="143"/>
      <c r="AA24" s="13">
        <f t="shared" si="27"/>
        <v>3</v>
      </c>
      <c r="AB24" s="62"/>
      <c r="AC24" s="143">
        <v>3</v>
      </c>
      <c r="AD24" s="13">
        <f t="shared" si="28"/>
        <v>0</v>
      </c>
      <c r="AE24" s="61"/>
      <c r="AF24" s="143"/>
      <c r="AG24" s="13">
        <f t="shared" si="29"/>
        <v>0</v>
      </c>
      <c r="AH24" s="61"/>
      <c r="AI24" s="143"/>
      <c r="AJ24" s="13">
        <f t="shared" si="30"/>
        <v>0</v>
      </c>
      <c r="AK24" s="62">
        <v>9</v>
      </c>
      <c r="AL24" s="143"/>
      <c r="AM24" s="13">
        <f t="shared" si="6"/>
        <v>9</v>
      </c>
      <c r="AN24" s="61"/>
      <c r="AO24" s="143"/>
      <c r="AP24" s="13">
        <f t="shared" si="7"/>
        <v>9</v>
      </c>
      <c r="AQ24" s="62"/>
      <c r="AR24" s="143"/>
      <c r="AS24" s="13">
        <f t="shared" si="8"/>
        <v>9</v>
      </c>
      <c r="AT24" s="61"/>
      <c r="AU24" s="143">
        <f>2+3</f>
        <v>5</v>
      </c>
      <c r="AV24" s="13">
        <f t="shared" si="9"/>
        <v>4</v>
      </c>
      <c r="AW24" s="62"/>
      <c r="AX24" s="143"/>
      <c r="AY24" s="13">
        <f t="shared" si="10"/>
        <v>4</v>
      </c>
      <c r="AZ24" s="62"/>
      <c r="BA24" s="143"/>
      <c r="BB24" s="13">
        <f t="shared" si="11"/>
        <v>4</v>
      </c>
      <c r="BC24" s="62"/>
      <c r="BD24" s="143"/>
      <c r="BE24" s="13">
        <f t="shared" si="12"/>
        <v>4</v>
      </c>
      <c r="BF24" s="62"/>
      <c r="BG24" s="143"/>
      <c r="BH24" s="13">
        <f t="shared" si="13"/>
        <v>4</v>
      </c>
      <c r="BI24" s="62"/>
      <c r="BJ24" s="143"/>
      <c r="BK24" s="13">
        <f t="shared" si="14"/>
        <v>4</v>
      </c>
      <c r="BL24" s="62"/>
      <c r="BM24" s="143"/>
      <c r="BN24" s="13">
        <f t="shared" si="15"/>
        <v>4</v>
      </c>
      <c r="BO24" s="62"/>
      <c r="BP24" s="143"/>
      <c r="BQ24" s="13">
        <f t="shared" si="16"/>
        <v>4</v>
      </c>
      <c r="BR24" s="62"/>
      <c r="BS24" s="143"/>
      <c r="BT24" s="13">
        <f t="shared" si="17"/>
        <v>4</v>
      </c>
      <c r="BU24" s="62"/>
      <c r="BV24" s="143"/>
      <c r="BW24" s="13">
        <f t="shared" si="18"/>
        <v>4</v>
      </c>
      <c r="BX24" s="62"/>
      <c r="BY24" s="143"/>
      <c r="BZ24" s="13">
        <f t="shared" si="19"/>
        <v>4</v>
      </c>
      <c r="CA24" s="61"/>
      <c r="CB24" s="143"/>
      <c r="CC24" s="13">
        <f t="shared" si="20"/>
        <v>4</v>
      </c>
      <c r="CD24" s="62"/>
      <c r="CE24" s="143"/>
      <c r="CF24" s="13">
        <f t="shared" si="21"/>
        <v>4</v>
      </c>
      <c r="CG24" s="62"/>
      <c r="CH24" s="143"/>
      <c r="CI24" s="13">
        <f t="shared" si="31"/>
        <v>4</v>
      </c>
      <c r="CJ24" s="62"/>
      <c r="CK24" s="143"/>
      <c r="CL24" s="13">
        <f t="shared" si="32"/>
        <v>4</v>
      </c>
      <c r="CM24" s="62"/>
      <c r="CN24" s="143"/>
      <c r="CO24" s="13">
        <f t="shared" si="22"/>
        <v>4</v>
      </c>
      <c r="CP24" s="61"/>
      <c r="CQ24" s="143">
        <v>4</v>
      </c>
      <c r="CR24" s="13">
        <f t="shared" si="33"/>
        <v>0</v>
      </c>
      <c r="CS24" s="62"/>
      <c r="CT24" s="143"/>
      <c r="CU24" s="14">
        <f t="shared" si="23"/>
        <v>0</v>
      </c>
      <c r="CV24" s="5">
        <f t="shared" si="24"/>
        <v>9</v>
      </c>
      <c r="CW24" s="4">
        <f t="shared" si="24"/>
        <v>12</v>
      </c>
      <c r="CX24" s="6">
        <f t="shared" si="25"/>
        <v>0</v>
      </c>
      <c r="CY24" s="162">
        <v>67</v>
      </c>
      <c r="CZ24" s="171">
        <f t="shared" si="26"/>
        <v>0</v>
      </c>
      <c r="DB24" s="2">
        <f t="shared" si="34"/>
        <v>0</v>
      </c>
      <c r="DC24" s="61"/>
      <c r="DD24" s="143"/>
      <c r="DE24" s="149">
        <f t="shared" si="35"/>
        <v>0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7</v>
      </c>
      <c r="G25" s="62"/>
      <c r="H25" s="143">
        <f>2+3</f>
        <v>5</v>
      </c>
      <c r="I25" s="13">
        <f t="shared" si="0"/>
        <v>2</v>
      </c>
      <c r="J25" s="62">
        <v>10</v>
      </c>
      <c r="K25" s="143"/>
      <c r="L25" s="13">
        <f t="shared" si="1"/>
        <v>12</v>
      </c>
      <c r="M25" s="62">
        <v>8</v>
      </c>
      <c r="N25" s="143">
        <f>2+3</f>
        <v>5</v>
      </c>
      <c r="O25" s="13">
        <f t="shared" si="2"/>
        <v>15</v>
      </c>
      <c r="P25" s="62">
        <v>10</v>
      </c>
      <c r="Q25" s="143">
        <f>3+2+3</f>
        <v>8</v>
      </c>
      <c r="R25" s="30">
        <f t="shared" si="3"/>
        <v>17</v>
      </c>
      <c r="S25" s="62"/>
      <c r="T25" s="143"/>
      <c r="U25" s="13">
        <f t="shared" si="4"/>
        <v>17</v>
      </c>
      <c r="V25" s="62"/>
      <c r="W25" s="143">
        <f>3+1</f>
        <v>4</v>
      </c>
      <c r="X25" s="13">
        <f t="shared" si="5"/>
        <v>13</v>
      </c>
      <c r="Y25" s="62"/>
      <c r="Z25" s="143">
        <f>2+1</f>
        <v>3</v>
      </c>
      <c r="AA25" s="13">
        <f t="shared" si="27"/>
        <v>10</v>
      </c>
      <c r="AB25" s="62"/>
      <c r="AC25" s="143">
        <f>1</f>
        <v>1</v>
      </c>
      <c r="AD25" s="13">
        <f t="shared" si="28"/>
        <v>9</v>
      </c>
      <c r="AE25" s="61">
        <v>10</v>
      </c>
      <c r="AF25" s="143"/>
      <c r="AG25" s="13">
        <f t="shared" si="29"/>
        <v>19</v>
      </c>
      <c r="AH25" s="61"/>
      <c r="AI25" s="143">
        <f>3+3</f>
        <v>6</v>
      </c>
      <c r="AJ25" s="13">
        <f t="shared" si="30"/>
        <v>13</v>
      </c>
      <c r="AK25" s="62">
        <v>10</v>
      </c>
      <c r="AL25" s="143">
        <f>3</f>
        <v>3</v>
      </c>
      <c r="AM25" s="13">
        <f t="shared" si="6"/>
        <v>20</v>
      </c>
      <c r="AN25" s="61"/>
      <c r="AO25" s="143"/>
      <c r="AP25" s="13">
        <f t="shared" si="7"/>
        <v>20</v>
      </c>
      <c r="AQ25" s="62"/>
      <c r="AR25" s="143"/>
      <c r="AS25" s="13">
        <f t="shared" si="8"/>
        <v>20</v>
      </c>
      <c r="AT25" s="61">
        <v>10</v>
      </c>
      <c r="AU25" s="143">
        <f>1+2+2+1+1.5+2</f>
        <v>9.5</v>
      </c>
      <c r="AV25" s="13">
        <f t="shared" si="9"/>
        <v>20.5</v>
      </c>
      <c r="AW25" s="62"/>
      <c r="AX25" s="143">
        <f>2</f>
        <v>2</v>
      </c>
      <c r="AY25" s="13">
        <f t="shared" si="10"/>
        <v>18.5</v>
      </c>
      <c r="AZ25" s="62">
        <v>10</v>
      </c>
      <c r="BA25" s="143">
        <f>2+1+1</f>
        <v>4</v>
      </c>
      <c r="BB25" s="13">
        <f t="shared" si="11"/>
        <v>24.5</v>
      </c>
      <c r="BC25" s="62"/>
      <c r="BD25" s="143">
        <f>4+2</f>
        <v>6</v>
      </c>
      <c r="BE25" s="13">
        <f t="shared" si="12"/>
        <v>18.5</v>
      </c>
      <c r="BF25" s="62"/>
      <c r="BG25" s="143">
        <f>1+1</f>
        <v>2</v>
      </c>
      <c r="BH25" s="13">
        <f t="shared" si="13"/>
        <v>16.5</v>
      </c>
      <c r="BI25" s="62"/>
      <c r="BJ25" s="143"/>
      <c r="BK25" s="13">
        <f t="shared" si="14"/>
        <v>16.5</v>
      </c>
      <c r="BL25" s="62"/>
      <c r="BM25" s="143">
        <f>1+1+1.5</f>
        <v>3.5</v>
      </c>
      <c r="BN25" s="13">
        <f t="shared" si="15"/>
        <v>13</v>
      </c>
      <c r="BO25" s="62"/>
      <c r="BP25" s="143">
        <f>4+0.5</f>
        <v>4.5</v>
      </c>
      <c r="BQ25" s="13">
        <f t="shared" si="16"/>
        <v>8.5</v>
      </c>
      <c r="BR25" s="62"/>
      <c r="BS25" s="143"/>
      <c r="BT25" s="13">
        <f t="shared" si="17"/>
        <v>8.5</v>
      </c>
      <c r="BU25" s="62">
        <v>10</v>
      </c>
      <c r="BV25" s="143">
        <f>2</f>
        <v>2</v>
      </c>
      <c r="BW25" s="13">
        <f t="shared" si="18"/>
        <v>16.5</v>
      </c>
      <c r="BX25" s="62"/>
      <c r="BY25" s="143">
        <f>3+3+1+1</f>
        <v>8</v>
      </c>
      <c r="BZ25" s="13">
        <f t="shared" si="19"/>
        <v>8.5</v>
      </c>
      <c r="CA25" s="61">
        <v>10</v>
      </c>
      <c r="CB25" s="143">
        <f>1.5</f>
        <v>1.5</v>
      </c>
      <c r="CC25" s="13">
        <f t="shared" si="20"/>
        <v>17</v>
      </c>
      <c r="CD25" s="62"/>
      <c r="CE25" s="143"/>
      <c r="CF25" s="13">
        <f t="shared" si="21"/>
        <v>17</v>
      </c>
      <c r="CG25" s="62"/>
      <c r="CH25" s="143">
        <f>4+1.5+1</f>
        <v>6.5</v>
      </c>
      <c r="CI25" s="13">
        <f t="shared" si="31"/>
        <v>10.5</v>
      </c>
      <c r="CJ25" s="62">
        <v>10</v>
      </c>
      <c r="CK25" s="143">
        <f>2.5+1</f>
        <v>3.5</v>
      </c>
      <c r="CL25" s="13">
        <f t="shared" si="32"/>
        <v>17</v>
      </c>
      <c r="CM25" s="62"/>
      <c r="CN25" s="143">
        <f>2+2</f>
        <v>4</v>
      </c>
      <c r="CO25" s="13">
        <f t="shared" si="22"/>
        <v>13</v>
      </c>
      <c r="CP25" s="61"/>
      <c r="CQ25" s="143">
        <f>2+1.5</f>
        <v>3.5</v>
      </c>
      <c r="CR25" s="13">
        <f t="shared" si="33"/>
        <v>9.5</v>
      </c>
      <c r="CS25" s="62"/>
      <c r="CT25" s="143">
        <f>2+1</f>
        <v>3</v>
      </c>
      <c r="CU25" s="14">
        <f t="shared" si="23"/>
        <v>6.5</v>
      </c>
      <c r="CV25" s="5">
        <f t="shared" si="24"/>
        <v>98</v>
      </c>
      <c r="CW25" s="4">
        <f t="shared" si="24"/>
        <v>98.5</v>
      </c>
      <c r="CX25" s="6">
        <f t="shared" si="25"/>
        <v>6.5</v>
      </c>
      <c r="CY25" s="162">
        <v>140</v>
      </c>
      <c r="CZ25" s="171">
        <f t="shared" si="26"/>
        <v>910</v>
      </c>
      <c r="DB25" s="2">
        <f t="shared" si="34"/>
        <v>6.5</v>
      </c>
      <c r="DC25" s="61"/>
      <c r="DD25" s="143"/>
      <c r="DE25" s="149">
        <f t="shared" si="35"/>
        <v>6.5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14</v>
      </c>
      <c r="G26" s="62"/>
      <c r="H26" s="143"/>
      <c r="I26" s="13">
        <f t="shared" si="0"/>
        <v>14</v>
      </c>
      <c r="J26" s="62">
        <v>2</v>
      </c>
      <c r="K26" s="143">
        <v>7</v>
      </c>
      <c r="L26" s="13">
        <f t="shared" si="1"/>
        <v>9</v>
      </c>
      <c r="M26" s="62">
        <f>2+10</f>
        <v>12</v>
      </c>
      <c r="N26" s="143">
        <v>3</v>
      </c>
      <c r="O26" s="13">
        <f t="shared" si="2"/>
        <v>18</v>
      </c>
      <c r="P26" s="62">
        <v>2</v>
      </c>
      <c r="Q26" s="143">
        <v>7</v>
      </c>
      <c r="R26" s="30">
        <f t="shared" si="3"/>
        <v>13</v>
      </c>
      <c r="S26" s="62"/>
      <c r="T26" s="143"/>
      <c r="U26" s="13">
        <f t="shared" si="4"/>
        <v>13</v>
      </c>
      <c r="V26" s="62">
        <v>12</v>
      </c>
      <c r="W26" s="143">
        <v>4</v>
      </c>
      <c r="X26" s="13">
        <f t="shared" si="5"/>
        <v>21</v>
      </c>
      <c r="Y26" s="62">
        <v>3</v>
      </c>
      <c r="Z26" s="143">
        <v>6</v>
      </c>
      <c r="AA26" s="13">
        <f t="shared" si="27"/>
        <v>18</v>
      </c>
      <c r="AB26" s="62"/>
      <c r="AC26" s="143"/>
      <c r="AD26" s="13">
        <f t="shared" si="28"/>
        <v>18</v>
      </c>
      <c r="AE26" s="61">
        <v>2</v>
      </c>
      <c r="AF26" s="143">
        <v>5</v>
      </c>
      <c r="AG26" s="13">
        <f t="shared" si="29"/>
        <v>15</v>
      </c>
      <c r="AH26" s="61">
        <f>2+20</f>
        <v>22</v>
      </c>
      <c r="AI26" s="143">
        <v>4</v>
      </c>
      <c r="AJ26" s="13">
        <f t="shared" si="30"/>
        <v>33</v>
      </c>
      <c r="AK26" s="62">
        <v>2</v>
      </c>
      <c r="AL26" s="143">
        <v>5</v>
      </c>
      <c r="AM26" s="13">
        <f t="shared" si="6"/>
        <v>30</v>
      </c>
      <c r="AN26" s="61"/>
      <c r="AO26" s="143"/>
      <c r="AP26" s="13">
        <f t="shared" si="7"/>
        <v>30</v>
      </c>
      <c r="AQ26" s="62"/>
      <c r="AR26" s="143">
        <v>5</v>
      </c>
      <c r="AS26" s="13">
        <f t="shared" si="8"/>
        <v>25</v>
      </c>
      <c r="AT26" s="61">
        <v>2</v>
      </c>
      <c r="AU26" s="143">
        <v>8</v>
      </c>
      <c r="AV26" s="13">
        <f t="shared" si="9"/>
        <v>19</v>
      </c>
      <c r="AW26" s="62"/>
      <c r="AX26" s="143"/>
      <c r="AY26" s="13">
        <f t="shared" si="10"/>
        <v>19</v>
      </c>
      <c r="AZ26" s="62">
        <v>2</v>
      </c>
      <c r="BA26" s="143">
        <v>4</v>
      </c>
      <c r="BB26" s="13">
        <f t="shared" si="11"/>
        <v>17</v>
      </c>
      <c r="BC26" s="62">
        <f>2+8</f>
        <v>10</v>
      </c>
      <c r="BD26" s="143">
        <v>5</v>
      </c>
      <c r="BE26" s="13">
        <f t="shared" si="12"/>
        <v>22</v>
      </c>
      <c r="BF26" s="62">
        <v>2</v>
      </c>
      <c r="BG26" s="143">
        <v>6</v>
      </c>
      <c r="BH26" s="13">
        <f t="shared" si="13"/>
        <v>18</v>
      </c>
      <c r="BI26" s="62"/>
      <c r="BJ26" s="143"/>
      <c r="BK26" s="13">
        <f t="shared" si="14"/>
        <v>18</v>
      </c>
      <c r="BL26" s="62">
        <f>2+8</f>
        <v>10</v>
      </c>
      <c r="BM26" s="143">
        <v>7</v>
      </c>
      <c r="BN26" s="13">
        <f t="shared" si="15"/>
        <v>21</v>
      </c>
      <c r="BO26" s="62">
        <v>2</v>
      </c>
      <c r="BP26" s="143">
        <v>4</v>
      </c>
      <c r="BQ26" s="13">
        <f t="shared" si="16"/>
        <v>19</v>
      </c>
      <c r="BR26" s="62"/>
      <c r="BS26" s="143"/>
      <c r="BT26" s="13">
        <f t="shared" si="17"/>
        <v>19</v>
      </c>
      <c r="BU26" s="62">
        <v>2</v>
      </c>
      <c r="BV26" s="143">
        <v>5</v>
      </c>
      <c r="BW26" s="13">
        <f t="shared" si="18"/>
        <v>16</v>
      </c>
      <c r="BX26" s="62">
        <v>10</v>
      </c>
      <c r="BY26" s="143">
        <v>6</v>
      </c>
      <c r="BZ26" s="13">
        <f t="shared" si="19"/>
        <v>20</v>
      </c>
      <c r="CA26" s="61">
        <v>2</v>
      </c>
      <c r="CB26" s="143">
        <v>5</v>
      </c>
      <c r="CC26" s="13">
        <f t="shared" si="20"/>
        <v>17</v>
      </c>
      <c r="CD26" s="62"/>
      <c r="CE26" s="143"/>
      <c r="CF26" s="13">
        <f t="shared" si="21"/>
        <v>17</v>
      </c>
      <c r="CG26" s="62">
        <v>12</v>
      </c>
      <c r="CH26" s="143">
        <v>6</v>
      </c>
      <c r="CI26" s="13">
        <f t="shared" si="31"/>
        <v>23</v>
      </c>
      <c r="CJ26" s="62">
        <v>2</v>
      </c>
      <c r="CK26" s="143">
        <v>5</v>
      </c>
      <c r="CL26" s="13">
        <f t="shared" si="32"/>
        <v>20</v>
      </c>
      <c r="CM26" s="62"/>
      <c r="CN26" s="143"/>
      <c r="CO26" s="13">
        <f t="shared" si="22"/>
        <v>20</v>
      </c>
      <c r="CP26" s="61">
        <v>2</v>
      </c>
      <c r="CQ26" s="143">
        <f>6-1</f>
        <v>5</v>
      </c>
      <c r="CR26" s="13">
        <f t="shared" si="33"/>
        <v>17</v>
      </c>
      <c r="CS26" s="62">
        <v>2</v>
      </c>
      <c r="CT26" s="143">
        <v>4</v>
      </c>
      <c r="CU26" s="14">
        <f t="shared" si="23"/>
        <v>15</v>
      </c>
      <c r="CV26" s="5">
        <f t="shared" si="24"/>
        <v>117</v>
      </c>
      <c r="CW26" s="4">
        <f t="shared" si="24"/>
        <v>116</v>
      </c>
      <c r="CX26" s="6">
        <f t="shared" si="25"/>
        <v>15</v>
      </c>
      <c r="CY26" s="162">
        <v>3800</v>
      </c>
      <c r="CZ26" s="171">
        <f t="shared" si="26"/>
        <v>57000</v>
      </c>
      <c r="DB26" s="2">
        <f t="shared" si="34"/>
        <v>15</v>
      </c>
      <c r="DC26" s="61"/>
      <c r="DD26" s="143"/>
      <c r="DE26" s="149">
        <f t="shared" si="35"/>
        <v>15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40</v>
      </c>
      <c r="E27" s="34" t="s">
        <v>68</v>
      </c>
      <c r="F27" s="14">
        <v>40.19999999999996</v>
      </c>
      <c r="G27" s="62"/>
      <c r="H27" s="143">
        <f>1.4+2.8+0.8+2.5+0.7+1+4.4</f>
        <v>13.6</v>
      </c>
      <c r="I27" s="13">
        <f t="shared" si="0"/>
        <v>26.599999999999959</v>
      </c>
      <c r="J27" s="62">
        <v>40</v>
      </c>
      <c r="K27" s="143">
        <f>1.3+1.9+1.1+0.8+1+1.5+1.5</f>
        <v>9.1000000000000014</v>
      </c>
      <c r="L27" s="13">
        <f t="shared" si="1"/>
        <v>57.499999999999964</v>
      </c>
      <c r="M27" s="62">
        <v>20</v>
      </c>
      <c r="N27" s="143">
        <f>10+2.3+1.9+0.4+2.5+0.5</f>
        <v>17.600000000000001</v>
      </c>
      <c r="O27" s="13">
        <f t="shared" si="2"/>
        <v>59.89999999999997</v>
      </c>
      <c r="P27" s="62">
        <f>20</f>
        <v>20</v>
      </c>
      <c r="Q27" s="143">
        <f>10+4</f>
        <v>14</v>
      </c>
      <c r="R27" s="30">
        <f t="shared" si="3"/>
        <v>65.899999999999977</v>
      </c>
      <c r="S27" s="62"/>
      <c r="T27" s="143"/>
      <c r="U27" s="13">
        <f t="shared" si="4"/>
        <v>65.899999999999977</v>
      </c>
      <c r="V27" s="62"/>
      <c r="W27" s="143">
        <f>0.9+1.5+2.8+2+0.8+0.8+1.3</f>
        <v>10.1</v>
      </c>
      <c r="X27" s="13">
        <f t="shared" si="5"/>
        <v>55.799999999999976</v>
      </c>
      <c r="Y27" s="62"/>
      <c r="Z27" s="143">
        <f>1.5+1.9+0.7+1.8+1.5</f>
        <v>7.3999999999999995</v>
      </c>
      <c r="AA27" s="13">
        <f t="shared" si="27"/>
        <v>48.399999999999977</v>
      </c>
      <c r="AB27" s="62"/>
      <c r="AC27" s="143">
        <f>1.4+1+0.8+1.6+1.2+1.4+3.5</f>
        <v>10.9</v>
      </c>
      <c r="AD27" s="13">
        <f t="shared" si="28"/>
        <v>37.499999999999979</v>
      </c>
      <c r="AE27" s="61">
        <v>40</v>
      </c>
      <c r="AF27" s="143">
        <f>1.4+1.4+2.8+0.8+1.1+0.9+0.8</f>
        <v>9.2000000000000011</v>
      </c>
      <c r="AG27" s="13">
        <f t="shared" si="29"/>
        <v>68.299999999999969</v>
      </c>
      <c r="AH27" s="61"/>
      <c r="AI27" s="143">
        <f>10+1.3+0.4+0.2+0.6+0.2+0.2+0.2</f>
        <v>13.099999999999998</v>
      </c>
      <c r="AJ27" s="13">
        <f t="shared" si="30"/>
        <v>55.199999999999974</v>
      </c>
      <c r="AK27" s="62">
        <v>20</v>
      </c>
      <c r="AL27" s="143">
        <f>1.5</f>
        <v>1.5</v>
      </c>
      <c r="AM27" s="13">
        <f t="shared" si="6"/>
        <v>73.699999999999974</v>
      </c>
      <c r="AN27" s="61"/>
      <c r="AO27" s="143"/>
      <c r="AP27" s="13">
        <f t="shared" si="7"/>
        <v>73.699999999999974</v>
      </c>
      <c r="AQ27" s="62"/>
      <c r="AR27" s="143"/>
      <c r="AS27" s="13">
        <f t="shared" si="8"/>
        <v>73.699999999999974</v>
      </c>
      <c r="AT27" s="61"/>
      <c r="AU27" s="143">
        <f>2.7+0.9+1.5+1.1+1.3+1+1.5+0.7+1+1.5+0.3+5+0.7+1</f>
        <v>20.2</v>
      </c>
      <c r="AV27" s="13">
        <f t="shared" si="9"/>
        <v>53.499999999999972</v>
      </c>
      <c r="AW27" s="62"/>
      <c r="AX27" s="143">
        <f>1.8+2.8+0.3+2.5+0.6+1.4</f>
        <v>9.3999999999999986</v>
      </c>
      <c r="AY27" s="13">
        <f t="shared" si="10"/>
        <v>44.099999999999973</v>
      </c>
      <c r="AZ27" s="62">
        <v>40</v>
      </c>
      <c r="BA27" s="143">
        <f>1.3+1.4+1.8+0.9+1.1+1.1</f>
        <v>7.6</v>
      </c>
      <c r="BB27" s="13">
        <f t="shared" si="11"/>
        <v>76.499999999999972</v>
      </c>
      <c r="BC27" s="62"/>
      <c r="BD27" s="143">
        <f>10+2.3+0.3+0.3+0.3+0.5+0.1+2+2.1</f>
        <v>17.900000000000002</v>
      </c>
      <c r="BE27" s="13">
        <f t="shared" si="12"/>
        <v>58.599999999999966</v>
      </c>
      <c r="BF27" s="62"/>
      <c r="BG27" s="143">
        <f>1.3+1.2</f>
        <v>2.5</v>
      </c>
      <c r="BH27" s="13">
        <f t="shared" si="13"/>
        <v>56.099999999999966</v>
      </c>
      <c r="BI27" s="62"/>
      <c r="BJ27" s="143"/>
      <c r="BK27" s="13">
        <f t="shared" si="14"/>
        <v>56.099999999999966</v>
      </c>
      <c r="BL27" s="62">
        <v>40</v>
      </c>
      <c r="BM27" s="143">
        <f>1.5+1+1.5+1+0.7+1.3+0.8+1.4</f>
        <v>9.1999999999999993</v>
      </c>
      <c r="BN27" s="13">
        <f t="shared" si="15"/>
        <v>86.899999999999963</v>
      </c>
      <c r="BO27" s="62"/>
      <c r="BP27" s="143">
        <f>10+10.1+1.4+1.4+2.2+1.8+1+0.2</f>
        <v>28.099999999999998</v>
      </c>
      <c r="BQ27" s="13">
        <f t="shared" si="16"/>
        <v>58.799999999999969</v>
      </c>
      <c r="BR27" s="62"/>
      <c r="BS27" s="143">
        <f>1.6+1+0.7+1.6+0.8+1.8+5.5</f>
        <v>13</v>
      </c>
      <c r="BT27" s="13">
        <f t="shared" si="17"/>
        <v>45.799999999999969</v>
      </c>
      <c r="BU27" s="184">
        <v>20</v>
      </c>
      <c r="BV27" s="143">
        <f>1.5+1.4+1+1.7+1.1+1.1+1.2</f>
        <v>8.9999999999999982</v>
      </c>
      <c r="BW27" s="13">
        <f t="shared" si="18"/>
        <v>56.799999999999969</v>
      </c>
      <c r="BX27" s="62"/>
      <c r="BY27" s="143">
        <f>10+1.3+0.3+0.1+0.6+0.1+0.2+0.1</f>
        <v>12.7</v>
      </c>
      <c r="BZ27" s="13">
        <f t="shared" si="19"/>
        <v>44.099999999999966</v>
      </c>
      <c r="CA27" s="61">
        <v>40</v>
      </c>
      <c r="CB27" s="143">
        <f>1.2+0.8</f>
        <v>2</v>
      </c>
      <c r="CC27" s="13">
        <f t="shared" si="20"/>
        <v>82.099999999999966</v>
      </c>
      <c r="CD27" s="62"/>
      <c r="CE27" s="143"/>
      <c r="CF27" s="13">
        <f t="shared" si="21"/>
        <v>82.099999999999966</v>
      </c>
      <c r="CG27" s="61"/>
      <c r="CH27" s="143">
        <f>2.6+0.9+0.9+1.4+0.8+0.8+0.9+0.9+0.8+1.5+1.5</f>
        <v>13.000000000000002</v>
      </c>
      <c r="CI27" s="13">
        <f t="shared" si="31"/>
        <v>69.099999999999966</v>
      </c>
      <c r="CJ27" s="62"/>
      <c r="CK27" s="143">
        <f>10.3+1.8+1+1.2+1.4+3.7</f>
        <v>19.400000000000002</v>
      </c>
      <c r="CL27" s="13">
        <f t="shared" si="32"/>
        <v>49.69999999999996</v>
      </c>
      <c r="CM27" s="61"/>
      <c r="CN27" s="143">
        <f>2.8+1.2+1.3+1.2+1.2</f>
        <v>7.7</v>
      </c>
      <c r="CO27" s="13">
        <f t="shared" si="22"/>
        <v>41.999999999999957</v>
      </c>
      <c r="CP27" s="61">
        <v>20</v>
      </c>
      <c r="CQ27" s="143">
        <f>1.3+2.3+2.3+3.1+1.7+3.9+1.2</f>
        <v>15.799999999999999</v>
      </c>
      <c r="CR27" s="13">
        <f t="shared" si="33"/>
        <v>46.19999999999996</v>
      </c>
      <c r="CS27" s="62"/>
      <c r="CT27" s="143">
        <f>0.8+0.4+0.1+0.2+0.4+0.5+4+10</f>
        <v>16.399999999999999</v>
      </c>
      <c r="CU27" s="14">
        <f t="shared" si="23"/>
        <v>29.799999999999962</v>
      </c>
      <c r="CV27" s="5">
        <f t="shared" si="24"/>
        <v>300</v>
      </c>
      <c r="CW27" s="4">
        <f t="shared" si="24"/>
        <v>310.39999999999998</v>
      </c>
      <c r="CX27" s="6">
        <f t="shared" si="25"/>
        <v>29.799999999999962</v>
      </c>
      <c r="CY27" s="162">
        <v>230</v>
      </c>
      <c r="CZ27" s="171">
        <f t="shared" si="26"/>
        <v>6853.9999999999909</v>
      </c>
      <c r="DB27" s="2">
        <f t="shared" si="34"/>
        <v>29.799999999999962</v>
      </c>
      <c r="DC27" s="61"/>
      <c r="DD27" s="143"/>
      <c r="DE27" s="149">
        <f t="shared" si="35"/>
        <v>29.799999999999962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0</v>
      </c>
      <c r="G28" s="62"/>
      <c r="H28" s="143"/>
      <c r="I28" s="13">
        <f t="shared" si="0"/>
        <v>0</v>
      </c>
      <c r="J28" s="62">
        <v>20</v>
      </c>
      <c r="K28" s="143"/>
      <c r="L28" s="13">
        <f t="shared" si="1"/>
        <v>20</v>
      </c>
      <c r="M28" s="62"/>
      <c r="N28" s="143">
        <v>1</v>
      </c>
      <c r="O28" s="13">
        <f t="shared" si="2"/>
        <v>19</v>
      </c>
      <c r="P28" s="62"/>
      <c r="Q28" s="143"/>
      <c r="R28" s="30">
        <f t="shared" si="3"/>
        <v>19</v>
      </c>
      <c r="S28" s="62"/>
      <c r="T28" s="143"/>
      <c r="U28" s="13">
        <f t="shared" si="4"/>
        <v>19</v>
      </c>
      <c r="V28" s="62"/>
      <c r="W28" s="143">
        <v>1</v>
      </c>
      <c r="X28" s="13">
        <f t="shared" si="5"/>
        <v>18</v>
      </c>
      <c r="Y28" s="62"/>
      <c r="Z28" s="143">
        <v>1</v>
      </c>
      <c r="AA28" s="13">
        <f t="shared" si="27"/>
        <v>17</v>
      </c>
      <c r="AB28" s="62"/>
      <c r="AC28" s="143"/>
      <c r="AD28" s="13">
        <f t="shared" si="28"/>
        <v>17</v>
      </c>
      <c r="AE28" s="61"/>
      <c r="AF28" s="143">
        <v>1</v>
      </c>
      <c r="AG28" s="13">
        <f t="shared" si="29"/>
        <v>16</v>
      </c>
      <c r="AH28" s="61"/>
      <c r="AI28" s="143"/>
      <c r="AJ28" s="13">
        <f t="shared" si="30"/>
        <v>16</v>
      </c>
      <c r="AK28" s="62"/>
      <c r="AL28" s="143">
        <v>1</v>
      </c>
      <c r="AM28" s="13">
        <f t="shared" si="6"/>
        <v>15</v>
      </c>
      <c r="AN28" s="61"/>
      <c r="AO28" s="143"/>
      <c r="AP28" s="13">
        <f t="shared" si="7"/>
        <v>15</v>
      </c>
      <c r="AQ28" s="62"/>
      <c r="AR28" s="143"/>
      <c r="AS28" s="13">
        <f t="shared" si="8"/>
        <v>15</v>
      </c>
      <c r="AT28" s="61"/>
      <c r="AU28" s="143">
        <f>1+1</f>
        <v>2</v>
      </c>
      <c r="AV28" s="13">
        <f t="shared" si="9"/>
        <v>13</v>
      </c>
      <c r="AW28" s="62"/>
      <c r="AX28" s="143"/>
      <c r="AY28" s="13">
        <f t="shared" si="10"/>
        <v>13</v>
      </c>
      <c r="AZ28" s="62"/>
      <c r="BA28" s="143">
        <v>2</v>
      </c>
      <c r="BB28" s="13">
        <f t="shared" si="11"/>
        <v>11</v>
      </c>
      <c r="BC28" s="62"/>
      <c r="BD28" s="143">
        <v>1</v>
      </c>
      <c r="BE28" s="13">
        <f t="shared" si="12"/>
        <v>10</v>
      </c>
      <c r="BF28" s="62"/>
      <c r="BG28" s="143"/>
      <c r="BH28" s="13">
        <f t="shared" si="13"/>
        <v>10</v>
      </c>
      <c r="BI28" s="62"/>
      <c r="BJ28" s="143"/>
      <c r="BK28" s="13">
        <f t="shared" si="14"/>
        <v>10</v>
      </c>
      <c r="BL28" s="62"/>
      <c r="BM28" s="143">
        <v>2</v>
      </c>
      <c r="BN28" s="13">
        <f t="shared" si="15"/>
        <v>8</v>
      </c>
      <c r="BO28" s="62"/>
      <c r="BP28" s="143"/>
      <c r="BQ28" s="13">
        <f t="shared" si="16"/>
        <v>8</v>
      </c>
      <c r="BR28" s="62"/>
      <c r="BS28" s="143"/>
      <c r="BT28" s="13">
        <f t="shared" si="17"/>
        <v>8</v>
      </c>
      <c r="BU28" s="62">
        <v>20</v>
      </c>
      <c r="BV28" s="143">
        <v>2</v>
      </c>
      <c r="BW28" s="13">
        <f t="shared" si="18"/>
        <v>26</v>
      </c>
      <c r="BX28" s="62"/>
      <c r="BY28" s="143"/>
      <c r="BZ28" s="13">
        <f t="shared" si="19"/>
        <v>26</v>
      </c>
      <c r="CA28" s="61"/>
      <c r="CB28" s="143">
        <v>1</v>
      </c>
      <c r="CC28" s="13">
        <f t="shared" si="20"/>
        <v>25</v>
      </c>
      <c r="CD28" s="62"/>
      <c r="CE28" s="143"/>
      <c r="CF28" s="13">
        <f t="shared" si="21"/>
        <v>25</v>
      </c>
      <c r="CG28" s="61"/>
      <c r="CH28" s="143"/>
      <c r="CI28" s="13">
        <f t="shared" si="31"/>
        <v>25</v>
      </c>
      <c r="CJ28" s="62"/>
      <c r="CK28" s="143">
        <v>3</v>
      </c>
      <c r="CL28" s="13">
        <f t="shared" si="32"/>
        <v>22</v>
      </c>
      <c r="CM28" s="61"/>
      <c r="CN28" s="143"/>
      <c r="CO28" s="13">
        <f t="shared" si="22"/>
        <v>22</v>
      </c>
      <c r="CP28" s="61"/>
      <c r="CQ28" s="143"/>
      <c r="CR28" s="13">
        <f t="shared" si="33"/>
        <v>22</v>
      </c>
      <c r="CS28" s="62"/>
      <c r="CT28" s="143"/>
      <c r="CU28" s="14">
        <f t="shared" si="23"/>
        <v>22</v>
      </c>
      <c r="CV28" s="5">
        <f t="shared" si="24"/>
        <v>40</v>
      </c>
      <c r="CW28" s="4">
        <f t="shared" si="24"/>
        <v>18</v>
      </c>
      <c r="CX28" s="6">
        <f t="shared" si="25"/>
        <v>22</v>
      </c>
      <c r="CY28" s="162">
        <v>85</v>
      </c>
      <c r="CZ28" s="171">
        <f t="shared" si="26"/>
        <v>1870</v>
      </c>
      <c r="DB28" s="2">
        <f t="shared" si="34"/>
        <v>22</v>
      </c>
      <c r="DC28" s="61"/>
      <c r="DD28" s="143"/>
      <c r="DE28" s="149">
        <f t="shared" si="35"/>
        <v>22</v>
      </c>
    </row>
    <row r="29" spans="1:109" ht="15.75" customHeight="1">
      <c r="A29" s="33"/>
      <c r="B29" s="7" t="s">
        <v>70</v>
      </c>
      <c r="C29" s="105" t="s">
        <v>30</v>
      </c>
      <c r="D29" s="35" t="s">
        <v>315</v>
      </c>
      <c r="E29" s="35" t="s">
        <v>71</v>
      </c>
      <c r="F29" s="14">
        <v>24</v>
      </c>
      <c r="G29" s="62"/>
      <c r="H29" s="143"/>
      <c r="I29" s="13">
        <f t="shared" si="0"/>
        <v>24</v>
      </c>
      <c r="J29" s="62">
        <f>-56+80+60</f>
        <v>84</v>
      </c>
      <c r="K29" s="143">
        <f>3+6+6+9</f>
        <v>24</v>
      </c>
      <c r="L29" s="13">
        <f t="shared" si="1"/>
        <v>84</v>
      </c>
      <c r="M29" s="62">
        <f>-17+30+80</f>
        <v>93</v>
      </c>
      <c r="N29" s="143">
        <f>3+6+4+71</f>
        <v>84</v>
      </c>
      <c r="O29" s="13">
        <f t="shared" si="2"/>
        <v>93</v>
      </c>
      <c r="P29" s="62">
        <f>-71+30+100+20</f>
        <v>79</v>
      </c>
      <c r="Q29" s="143">
        <f>9+7+77</f>
        <v>93</v>
      </c>
      <c r="R29" s="30">
        <f t="shared" si="3"/>
        <v>79</v>
      </c>
      <c r="S29" s="62"/>
      <c r="T29" s="143"/>
      <c r="U29" s="13">
        <f t="shared" si="4"/>
        <v>79</v>
      </c>
      <c r="V29" s="62">
        <f>-2+22+80</f>
        <v>100</v>
      </c>
      <c r="W29" s="143">
        <f>8+3+68</f>
        <v>79</v>
      </c>
      <c r="X29" s="13">
        <f>U29+V29-W29</f>
        <v>100</v>
      </c>
      <c r="Y29" s="62">
        <f>-59+30+100</f>
        <v>71</v>
      </c>
      <c r="Z29" s="143">
        <f>4+3+3+10+9+71</f>
        <v>100</v>
      </c>
      <c r="AA29" s="13">
        <f t="shared" si="27"/>
        <v>71</v>
      </c>
      <c r="AB29" s="62"/>
      <c r="AC29" s="143"/>
      <c r="AD29" s="13">
        <f t="shared" si="28"/>
        <v>71</v>
      </c>
      <c r="AE29" s="61">
        <f>-30+100+20</f>
        <v>90</v>
      </c>
      <c r="AF29" s="143">
        <f>6+3+62</f>
        <v>71</v>
      </c>
      <c r="AG29" s="13">
        <f>AD29+AE29-AF29</f>
        <v>90</v>
      </c>
      <c r="AH29" s="61">
        <f>-36+50+100+30</f>
        <v>144</v>
      </c>
      <c r="AI29" s="143">
        <f>3+6+1+80</f>
        <v>90</v>
      </c>
      <c r="AJ29" s="13">
        <f t="shared" si="30"/>
        <v>144</v>
      </c>
      <c r="AK29" s="62">
        <f>-22+50+120+60</f>
        <v>208</v>
      </c>
      <c r="AL29" s="143">
        <f>10+13+121</f>
        <v>144</v>
      </c>
      <c r="AM29" s="13">
        <f t="shared" si="6"/>
        <v>208</v>
      </c>
      <c r="AN29" s="61"/>
      <c r="AO29" s="143"/>
      <c r="AP29" s="13">
        <f t="shared" si="7"/>
        <v>208</v>
      </c>
      <c r="AQ29" s="62"/>
      <c r="AR29" s="143">
        <f>8+5+127</f>
        <v>140</v>
      </c>
      <c r="AS29" s="13">
        <f t="shared" si="8"/>
        <v>68</v>
      </c>
      <c r="AT29" s="61">
        <f>-54+3+100+30</f>
        <v>79</v>
      </c>
      <c r="AU29" s="143">
        <f>2+4+10+5+47</f>
        <v>68</v>
      </c>
      <c r="AV29" s="13">
        <f t="shared" si="9"/>
        <v>79</v>
      </c>
      <c r="AW29" s="62"/>
      <c r="AX29" s="143"/>
      <c r="AY29" s="13">
        <f t="shared" si="10"/>
        <v>79</v>
      </c>
      <c r="AZ29" s="62">
        <f>40+40</f>
        <v>80</v>
      </c>
      <c r="BA29" s="143">
        <f>8+5+66</f>
        <v>79</v>
      </c>
      <c r="BB29" s="13">
        <f t="shared" si="11"/>
        <v>80</v>
      </c>
      <c r="BC29" s="62">
        <f>-22+40+100</f>
        <v>118</v>
      </c>
      <c r="BD29" s="143">
        <f>10+6+64</f>
        <v>80</v>
      </c>
      <c r="BE29" s="13">
        <f t="shared" si="12"/>
        <v>118</v>
      </c>
      <c r="BF29" s="62">
        <f>-56+120+20</f>
        <v>84</v>
      </c>
      <c r="BG29" s="143">
        <f>12+8+98</f>
        <v>118</v>
      </c>
      <c r="BH29" s="13">
        <f t="shared" si="13"/>
        <v>84</v>
      </c>
      <c r="BI29" s="62"/>
      <c r="BJ29" s="143"/>
      <c r="BK29" s="13">
        <f t="shared" si="14"/>
        <v>84</v>
      </c>
      <c r="BL29" s="62">
        <f>-12+80+50</f>
        <v>118</v>
      </c>
      <c r="BM29" s="143">
        <f>10+4+70</f>
        <v>84</v>
      </c>
      <c r="BN29" s="13">
        <f t="shared" si="15"/>
        <v>118</v>
      </c>
      <c r="BO29" s="62">
        <f>-2+30+50</f>
        <v>78</v>
      </c>
      <c r="BP29" s="143">
        <f>3+4+4+4+4+5+94</f>
        <v>118</v>
      </c>
      <c r="BQ29" s="13">
        <f t="shared" si="16"/>
        <v>78</v>
      </c>
      <c r="BR29" s="62"/>
      <c r="BS29" s="143">
        <v>2</v>
      </c>
      <c r="BT29" s="13">
        <f t="shared" si="17"/>
        <v>76</v>
      </c>
      <c r="BU29" s="62">
        <f>-53+18+120+2</f>
        <v>87</v>
      </c>
      <c r="BV29" s="143">
        <f>5+8+63</f>
        <v>76</v>
      </c>
      <c r="BW29" s="13">
        <f t="shared" si="18"/>
        <v>87</v>
      </c>
      <c r="BX29" s="62">
        <f>-41+30+100</f>
        <v>89</v>
      </c>
      <c r="BY29" s="143">
        <f>3+7+6+71</f>
        <v>87</v>
      </c>
      <c r="BZ29" s="13">
        <f t="shared" si="19"/>
        <v>89</v>
      </c>
      <c r="CA29" s="61">
        <f>100-38+30</f>
        <v>92</v>
      </c>
      <c r="CB29" s="143">
        <f>12+9+68</f>
        <v>89</v>
      </c>
      <c r="CC29" s="13">
        <f t="shared" si="20"/>
        <v>92</v>
      </c>
      <c r="CD29" s="62"/>
      <c r="CE29" s="143"/>
      <c r="CF29" s="13">
        <f t="shared" si="21"/>
        <v>92</v>
      </c>
      <c r="CG29" s="61">
        <f>-30+10+100</f>
        <v>80</v>
      </c>
      <c r="CH29" s="143">
        <f>7+9+76</f>
        <v>92</v>
      </c>
      <c r="CI29" s="13">
        <f t="shared" si="31"/>
        <v>80</v>
      </c>
      <c r="CJ29" s="62">
        <f>-34+80+32+2</f>
        <v>80</v>
      </c>
      <c r="CK29" s="143">
        <f>10+8+62</f>
        <v>80</v>
      </c>
      <c r="CL29" s="13">
        <f t="shared" si="32"/>
        <v>80</v>
      </c>
      <c r="CM29" s="61"/>
      <c r="CN29" s="143"/>
      <c r="CO29" s="13">
        <f t="shared" si="22"/>
        <v>80</v>
      </c>
      <c r="CP29" s="61">
        <f>-30+40+70</f>
        <v>80</v>
      </c>
      <c r="CQ29" s="143">
        <f>5+8+63</f>
        <v>76</v>
      </c>
      <c r="CR29" s="13">
        <f t="shared" si="33"/>
        <v>84</v>
      </c>
      <c r="CS29" s="62">
        <f>-20+70</f>
        <v>50</v>
      </c>
      <c r="CT29" s="143">
        <f>11+3+2+66</f>
        <v>82</v>
      </c>
      <c r="CU29" s="14">
        <f t="shared" si="23"/>
        <v>52</v>
      </c>
      <c r="CV29" s="5">
        <f t="shared" si="24"/>
        <v>1984</v>
      </c>
      <c r="CW29" s="4">
        <f t="shared" si="24"/>
        <v>1956</v>
      </c>
      <c r="CX29" s="6">
        <f t="shared" si="25"/>
        <v>52</v>
      </c>
      <c r="CY29" s="162">
        <v>135</v>
      </c>
      <c r="CZ29" s="171">
        <f t="shared" si="26"/>
        <v>7020</v>
      </c>
      <c r="DB29" s="2">
        <f t="shared" si="34"/>
        <v>52</v>
      </c>
      <c r="DC29" s="61"/>
      <c r="DD29" s="143"/>
      <c r="DE29" s="149">
        <f t="shared" si="35"/>
        <v>52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1"/>
      <c r="AF30" s="143"/>
      <c r="AG30" s="13">
        <f>AD30+AE30-AF30</f>
        <v>0</v>
      </c>
      <c r="AH30" s="61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1"/>
      <c r="AO30" s="143"/>
      <c r="AP30" s="13">
        <f t="shared" si="7"/>
        <v>0</v>
      </c>
      <c r="AQ30" s="62"/>
      <c r="AR30" s="143"/>
      <c r="AS30" s="13">
        <f t="shared" si="8"/>
        <v>0</v>
      </c>
      <c r="AT30" s="61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1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1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1"/>
      <c r="CN30" s="143"/>
      <c r="CO30" s="13">
        <f t="shared" si="22"/>
        <v>0</v>
      </c>
      <c r="CP30" s="61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1"/>
      <c r="AF31" s="143"/>
      <c r="AG31" s="13">
        <f t="shared" si="29"/>
        <v>0</v>
      </c>
      <c r="AH31" s="61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1"/>
      <c r="AO31" s="143"/>
      <c r="AP31" s="13">
        <f t="shared" si="7"/>
        <v>0</v>
      </c>
      <c r="AQ31" s="62"/>
      <c r="AR31" s="143"/>
      <c r="AS31" s="13">
        <f t="shared" si="8"/>
        <v>0</v>
      </c>
      <c r="AT31" s="61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1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1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1"/>
      <c r="CN31" s="143"/>
      <c r="CO31" s="13">
        <f t="shared" si="22"/>
        <v>0</v>
      </c>
      <c r="CP31" s="61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17</v>
      </c>
      <c r="G32" s="62"/>
      <c r="H32" s="143"/>
      <c r="I32" s="13">
        <f t="shared" si="0"/>
        <v>17</v>
      </c>
      <c r="J32" s="62"/>
      <c r="K32" s="143"/>
      <c r="L32" s="13">
        <f t="shared" si="1"/>
        <v>17</v>
      </c>
      <c r="M32" s="62"/>
      <c r="N32" s="143"/>
      <c r="O32" s="13">
        <f t="shared" si="2"/>
        <v>17</v>
      </c>
      <c r="P32" s="62"/>
      <c r="Q32" s="143"/>
      <c r="R32" s="30">
        <f t="shared" si="3"/>
        <v>17</v>
      </c>
      <c r="S32" s="62"/>
      <c r="T32" s="143"/>
      <c r="U32" s="13">
        <f t="shared" si="4"/>
        <v>17</v>
      </c>
      <c r="V32" s="62"/>
      <c r="W32" s="143"/>
      <c r="X32" s="13">
        <f t="shared" si="5"/>
        <v>17</v>
      </c>
      <c r="Y32" s="62"/>
      <c r="Z32" s="143"/>
      <c r="AA32" s="13">
        <f t="shared" si="27"/>
        <v>17</v>
      </c>
      <c r="AB32" s="62"/>
      <c r="AC32" s="143">
        <f>6+1+10</f>
        <v>17</v>
      </c>
      <c r="AD32" s="13">
        <f t="shared" si="28"/>
        <v>0</v>
      </c>
      <c r="AE32" s="61"/>
      <c r="AF32" s="143"/>
      <c r="AG32" s="13">
        <f t="shared" si="29"/>
        <v>0</v>
      </c>
      <c r="AH32" s="61">
        <v>1</v>
      </c>
      <c r="AI32" s="143"/>
      <c r="AJ32" s="13">
        <f t="shared" si="30"/>
        <v>1</v>
      </c>
      <c r="AK32" s="64"/>
      <c r="AL32" s="143"/>
      <c r="AM32" s="13">
        <f t="shared" si="6"/>
        <v>1</v>
      </c>
      <c r="AN32" s="61"/>
      <c r="AO32" s="143"/>
      <c r="AP32" s="13">
        <f t="shared" si="7"/>
        <v>1</v>
      </c>
      <c r="AQ32" s="62"/>
      <c r="AR32" s="143"/>
      <c r="AS32" s="13">
        <f t="shared" si="8"/>
        <v>1</v>
      </c>
      <c r="AT32" s="61"/>
      <c r="AU32" s="143">
        <v>1</v>
      </c>
      <c r="AV32" s="13">
        <f t="shared" si="9"/>
        <v>0</v>
      </c>
      <c r="AW32" s="64"/>
      <c r="AX32" s="143"/>
      <c r="AY32" s="13">
        <f t="shared" si="10"/>
        <v>0</v>
      </c>
      <c r="AZ32" s="62"/>
      <c r="BA32" s="143"/>
      <c r="BB32" s="13">
        <f t="shared" si="11"/>
        <v>0</v>
      </c>
      <c r="BC32" s="62"/>
      <c r="BD32" s="143"/>
      <c r="BE32" s="13">
        <f t="shared" si="12"/>
        <v>0</v>
      </c>
      <c r="BF32" s="62"/>
      <c r="BG32" s="143"/>
      <c r="BH32" s="13">
        <f t="shared" si="13"/>
        <v>0</v>
      </c>
      <c r="BI32" s="62"/>
      <c r="BJ32" s="143"/>
      <c r="BK32" s="13">
        <f t="shared" si="14"/>
        <v>0</v>
      </c>
      <c r="BL32" s="62"/>
      <c r="BM32" s="143"/>
      <c r="BN32" s="13">
        <f t="shared" si="15"/>
        <v>0</v>
      </c>
      <c r="BO32" s="62"/>
      <c r="BP32" s="143"/>
      <c r="BQ32" s="13">
        <f t="shared" si="16"/>
        <v>0</v>
      </c>
      <c r="BR32" s="62"/>
      <c r="BS32" s="143"/>
      <c r="BT32" s="13">
        <f t="shared" si="17"/>
        <v>0</v>
      </c>
      <c r="BU32" s="62"/>
      <c r="BV32" s="143"/>
      <c r="BW32" s="13">
        <f t="shared" si="18"/>
        <v>0</v>
      </c>
      <c r="BX32" s="62"/>
      <c r="BY32" s="143"/>
      <c r="BZ32" s="13">
        <f t="shared" si="19"/>
        <v>0</v>
      </c>
      <c r="CA32" s="61"/>
      <c r="CB32" s="143"/>
      <c r="CC32" s="13">
        <f t="shared" si="20"/>
        <v>0</v>
      </c>
      <c r="CD32" s="62"/>
      <c r="CE32" s="143"/>
      <c r="CF32" s="13">
        <f t="shared" si="21"/>
        <v>0</v>
      </c>
      <c r="CG32" s="61"/>
      <c r="CH32" s="143"/>
      <c r="CI32" s="13">
        <f t="shared" si="31"/>
        <v>0</v>
      </c>
      <c r="CJ32" s="62"/>
      <c r="CK32" s="143"/>
      <c r="CL32" s="13">
        <f t="shared" si="32"/>
        <v>0</v>
      </c>
      <c r="CM32" s="61"/>
      <c r="CN32" s="143"/>
      <c r="CO32" s="13">
        <f t="shared" si="22"/>
        <v>0</v>
      </c>
      <c r="CP32" s="61"/>
      <c r="CQ32" s="143"/>
      <c r="CR32" s="13">
        <f t="shared" si="33"/>
        <v>0</v>
      </c>
      <c r="CS32" s="62"/>
      <c r="CT32" s="143"/>
      <c r="CU32" s="14">
        <f t="shared" si="23"/>
        <v>0</v>
      </c>
      <c r="CV32" s="5">
        <f t="shared" si="24"/>
        <v>1</v>
      </c>
      <c r="CW32" s="4">
        <f t="shared" si="24"/>
        <v>18</v>
      </c>
      <c r="CX32" s="6">
        <f t="shared" si="25"/>
        <v>0</v>
      </c>
      <c r="CY32" s="162">
        <v>0</v>
      </c>
      <c r="CZ32" s="171">
        <f t="shared" si="26"/>
        <v>0</v>
      </c>
      <c r="DB32" s="2">
        <f t="shared" si="34"/>
        <v>0</v>
      </c>
      <c r="DC32" s="61"/>
      <c r="DD32" s="143"/>
      <c r="DE32" s="149">
        <f t="shared" si="35"/>
        <v>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1"/>
      <c r="AF33" s="143"/>
      <c r="AG33" s="13">
        <f t="shared" si="29"/>
        <v>0</v>
      </c>
      <c r="AH33" s="61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1"/>
      <c r="AO33" s="143"/>
      <c r="AP33" s="13">
        <f t="shared" si="7"/>
        <v>0</v>
      </c>
      <c r="AQ33" s="62"/>
      <c r="AR33" s="143"/>
      <c r="AS33" s="13">
        <f t="shared" si="8"/>
        <v>0</v>
      </c>
      <c r="AT33" s="61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1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1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1"/>
      <c r="CN33" s="143"/>
      <c r="CO33" s="13">
        <f t="shared" si="22"/>
        <v>0</v>
      </c>
      <c r="CP33" s="61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1"/>
      <c r="AF34" s="143"/>
      <c r="AG34" s="13">
        <f t="shared" si="29"/>
        <v>0</v>
      </c>
      <c r="AH34" s="61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1"/>
      <c r="AO34" s="143"/>
      <c r="AP34" s="13">
        <f t="shared" si="7"/>
        <v>0</v>
      </c>
      <c r="AQ34" s="62"/>
      <c r="AR34" s="143"/>
      <c r="AS34" s="13">
        <f t="shared" si="8"/>
        <v>0</v>
      </c>
      <c r="AT34" s="61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1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1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1"/>
      <c r="CN34" s="143"/>
      <c r="CO34" s="13">
        <f t="shared" si="22"/>
        <v>0</v>
      </c>
      <c r="CP34" s="61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1"/>
      <c r="AF35" s="143"/>
      <c r="AG35" s="13">
        <f t="shared" si="29"/>
        <v>0</v>
      </c>
      <c r="AH35" s="61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1"/>
      <c r="AO35" s="143"/>
      <c r="AP35" s="13">
        <f t="shared" si="7"/>
        <v>0</v>
      </c>
      <c r="AQ35" s="62"/>
      <c r="AR35" s="143"/>
      <c r="AS35" s="13">
        <f t="shared" si="8"/>
        <v>0</v>
      </c>
      <c r="AT35" s="61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1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1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1"/>
      <c r="CN35" s="143"/>
      <c r="CO35" s="13">
        <f t="shared" si="22"/>
        <v>0</v>
      </c>
      <c r="CP35" s="61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317</v>
      </c>
      <c r="E36" s="35" t="s">
        <v>51</v>
      </c>
      <c r="F36" s="14">
        <v>10</v>
      </c>
      <c r="G36" s="62"/>
      <c r="H36" s="143">
        <v>3</v>
      </c>
      <c r="I36" s="13">
        <f t="shared" si="0"/>
        <v>7</v>
      </c>
      <c r="J36" s="62">
        <f>2+4</f>
        <v>6</v>
      </c>
      <c r="K36" s="143">
        <v>4</v>
      </c>
      <c r="L36" s="13">
        <f t="shared" si="1"/>
        <v>9</v>
      </c>
      <c r="M36" s="62">
        <f>2+4</f>
        <v>6</v>
      </c>
      <c r="N36" s="143">
        <v>5</v>
      </c>
      <c r="O36" s="13">
        <f t="shared" si="2"/>
        <v>10</v>
      </c>
      <c r="P36" s="62">
        <f>2+4</f>
        <v>6</v>
      </c>
      <c r="Q36" s="143">
        <f>1+7</f>
        <v>8</v>
      </c>
      <c r="R36" s="30">
        <f t="shared" si="3"/>
        <v>8</v>
      </c>
      <c r="S36" s="62"/>
      <c r="T36" s="143"/>
      <c r="U36" s="13">
        <f t="shared" si="4"/>
        <v>8</v>
      </c>
      <c r="V36" s="62">
        <v>7</v>
      </c>
      <c r="W36" s="143">
        <v>5</v>
      </c>
      <c r="X36" s="13">
        <f t="shared" si="5"/>
        <v>10</v>
      </c>
      <c r="Y36" s="62">
        <f>2+4</f>
        <v>6</v>
      </c>
      <c r="Z36" s="143">
        <v>8</v>
      </c>
      <c r="AA36" s="13">
        <f t="shared" si="27"/>
        <v>8</v>
      </c>
      <c r="AB36" s="62"/>
      <c r="AC36" s="143">
        <v>1</v>
      </c>
      <c r="AD36" s="13">
        <f t="shared" si="28"/>
        <v>7</v>
      </c>
      <c r="AE36" s="61">
        <f>4+2</f>
        <v>6</v>
      </c>
      <c r="AF36" s="143">
        <v>5</v>
      </c>
      <c r="AG36" s="13">
        <f t="shared" si="29"/>
        <v>8</v>
      </c>
      <c r="AH36" s="61">
        <f>2+4+4</f>
        <v>10</v>
      </c>
      <c r="AI36" s="143">
        <f>4+1</f>
        <v>5</v>
      </c>
      <c r="AJ36" s="13">
        <f t="shared" si="30"/>
        <v>13</v>
      </c>
      <c r="AK36" s="62">
        <f>2+4+4</f>
        <v>10</v>
      </c>
      <c r="AL36" s="143">
        <v>6</v>
      </c>
      <c r="AM36" s="13">
        <f t="shared" si="6"/>
        <v>17</v>
      </c>
      <c r="AN36" s="61"/>
      <c r="AO36" s="143"/>
      <c r="AP36" s="13">
        <f t="shared" si="7"/>
        <v>17</v>
      </c>
      <c r="AQ36" s="62"/>
      <c r="AR36" s="143">
        <v>4</v>
      </c>
      <c r="AS36" s="13">
        <f t="shared" si="8"/>
        <v>13</v>
      </c>
      <c r="AT36" s="61">
        <v>7</v>
      </c>
      <c r="AU36" s="143">
        <v>8</v>
      </c>
      <c r="AV36" s="13">
        <f t="shared" si="9"/>
        <v>12</v>
      </c>
      <c r="AW36" s="62"/>
      <c r="AX36" s="143"/>
      <c r="AY36" s="13">
        <f t="shared" si="10"/>
        <v>12</v>
      </c>
      <c r="AZ36" s="62">
        <f>2+4</f>
        <v>6</v>
      </c>
      <c r="BA36" s="143">
        <v>7</v>
      </c>
      <c r="BB36" s="13">
        <f t="shared" si="11"/>
        <v>11</v>
      </c>
      <c r="BC36" s="62">
        <f>2+4</f>
        <v>6</v>
      </c>
      <c r="BD36" s="143">
        <v>5</v>
      </c>
      <c r="BE36" s="13">
        <f t="shared" si="12"/>
        <v>12</v>
      </c>
      <c r="BF36" s="62">
        <f>2+4</f>
        <v>6</v>
      </c>
      <c r="BG36" s="143">
        <f>7+1</f>
        <v>8</v>
      </c>
      <c r="BH36" s="13">
        <f t="shared" si="13"/>
        <v>10</v>
      </c>
      <c r="BI36" s="62"/>
      <c r="BJ36" s="143"/>
      <c r="BK36" s="13">
        <f t="shared" si="14"/>
        <v>10</v>
      </c>
      <c r="BL36" s="62">
        <f>2+4</f>
        <v>6</v>
      </c>
      <c r="BM36" s="143">
        <v>7</v>
      </c>
      <c r="BN36" s="13">
        <f t="shared" si="15"/>
        <v>9</v>
      </c>
      <c r="BO36" s="62">
        <f>2+4</f>
        <v>6</v>
      </c>
      <c r="BP36" s="143">
        <v>5</v>
      </c>
      <c r="BQ36" s="13">
        <f t="shared" si="16"/>
        <v>10</v>
      </c>
      <c r="BR36" s="62"/>
      <c r="BS36" s="143">
        <f>2</f>
        <v>2</v>
      </c>
      <c r="BT36" s="13">
        <f t="shared" si="17"/>
        <v>8</v>
      </c>
      <c r="BU36" s="62">
        <v>6</v>
      </c>
      <c r="BV36" s="143">
        <v>5</v>
      </c>
      <c r="BW36" s="13">
        <f t="shared" si="18"/>
        <v>9</v>
      </c>
      <c r="BX36" s="62">
        <v>8</v>
      </c>
      <c r="BY36" s="143">
        <v>4</v>
      </c>
      <c r="BZ36" s="13">
        <f t="shared" si="19"/>
        <v>13</v>
      </c>
      <c r="CA36" s="61">
        <f>2+4</f>
        <v>6</v>
      </c>
      <c r="CB36" s="143">
        <v>4</v>
      </c>
      <c r="CC36" s="13">
        <f t="shared" si="20"/>
        <v>15</v>
      </c>
      <c r="CD36" s="62"/>
      <c r="CE36" s="143"/>
      <c r="CF36" s="13">
        <f t="shared" si="21"/>
        <v>15</v>
      </c>
      <c r="CG36" s="61">
        <v>6</v>
      </c>
      <c r="CH36" s="143">
        <f>5+1</f>
        <v>6</v>
      </c>
      <c r="CI36" s="13">
        <f t="shared" si="31"/>
        <v>15</v>
      </c>
      <c r="CJ36" s="62">
        <f>2+4</f>
        <v>6</v>
      </c>
      <c r="CK36" s="143">
        <v>6</v>
      </c>
      <c r="CL36" s="13">
        <f t="shared" si="32"/>
        <v>15</v>
      </c>
      <c r="CM36" s="61"/>
      <c r="CN36" s="143"/>
      <c r="CO36" s="13">
        <f t="shared" si="22"/>
        <v>15</v>
      </c>
      <c r="CP36" s="61">
        <f>2+4</f>
        <v>6</v>
      </c>
      <c r="CQ36" s="143">
        <v>6</v>
      </c>
      <c r="CR36" s="13">
        <f t="shared" si="33"/>
        <v>15</v>
      </c>
      <c r="CS36" s="62">
        <f>2+4</f>
        <v>6</v>
      </c>
      <c r="CT36" s="143">
        <v>9</v>
      </c>
      <c r="CU36" s="14">
        <f t="shared" si="23"/>
        <v>12</v>
      </c>
      <c r="CV36" s="5">
        <f t="shared" si="24"/>
        <v>138</v>
      </c>
      <c r="CW36" s="4">
        <f t="shared" si="24"/>
        <v>136</v>
      </c>
      <c r="CX36" s="6">
        <f t="shared" si="25"/>
        <v>12</v>
      </c>
      <c r="CY36" s="162">
        <v>2000</v>
      </c>
      <c r="CZ36" s="171">
        <f t="shared" si="26"/>
        <v>24000</v>
      </c>
      <c r="DB36" s="2">
        <f t="shared" si="34"/>
        <v>12</v>
      </c>
      <c r="DC36" s="61"/>
      <c r="DD36" s="143"/>
      <c r="DE36" s="149">
        <f t="shared" si="35"/>
        <v>12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1"/>
      <c r="AF37" s="143"/>
      <c r="AG37" s="13">
        <f t="shared" si="29"/>
        <v>0</v>
      </c>
      <c r="AH37" s="61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1"/>
      <c r="AO37" s="143"/>
      <c r="AP37" s="13">
        <f t="shared" si="7"/>
        <v>0</v>
      </c>
      <c r="AQ37" s="62"/>
      <c r="AR37" s="143"/>
      <c r="AS37" s="13">
        <f t="shared" si="8"/>
        <v>0</v>
      </c>
      <c r="AT37" s="61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1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1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1"/>
      <c r="CN37" s="143"/>
      <c r="CO37" s="13">
        <f t="shared" si="22"/>
        <v>0</v>
      </c>
      <c r="CP37" s="61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/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1"/>
      <c r="AF38" s="143"/>
      <c r="AG38" s="13">
        <f t="shared" si="29"/>
        <v>0</v>
      </c>
      <c r="AH38" s="61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1"/>
      <c r="AO38" s="143"/>
      <c r="AP38" s="13">
        <f t="shared" si="7"/>
        <v>0</v>
      </c>
      <c r="AQ38" s="62"/>
      <c r="AR38" s="143"/>
      <c r="AS38" s="13">
        <f t="shared" si="8"/>
        <v>0</v>
      </c>
      <c r="AT38" s="61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 t="s">
        <v>320</v>
      </c>
      <c r="E39" s="34" t="s">
        <v>83</v>
      </c>
      <c r="F39" s="14">
        <v>18</v>
      </c>
      <c r="G39" s="62"/>
      <c r="H39" s="143"/>
      <c r="I39" s="13">
        <f t="shared" si="0"/>
        <v>18</v>
      </c>
      <c r="J39" s="62"/>
      <c r="K39" s="143">
        <v>2</v>
      </c>
      <c r="L39" s="13">
        <f t="shared" si="1"/>
        <v>16</v>
      </c>
      <c r="M39" s="62">
        <f>-2+20</f>
        <v>18</v>
      </c>
      <c r="N39" s="143">
        <f>4+12</f>
        <v>16</v>
      </c>
      <c r="O39" s="13">
        <f t="shared" si="2"/>
        <v>18</v>
      </c>
      <c r="P39" s="62">
        <f>-8+20</f>
        <v>12</v>
      </c>
      <c r="Q39" s="143">
        <v>18</v>
      </c>
      <c r="R39" s="30">
        <f t="shared" si="3"/>
        <v>12</v>
      </c>
      <c r="S39" s="62"/>
      <c r="T39" s="143"/>
      <c r="U39" s="13">
        <f t="shared" si="4"/>
        <v>12</v>
      </c>
      <c r="V39" s="62">
        <f>-6+50</f>
        <v>44</v>
      </c>
      <c r="W39" s="143">
        <f>1+11</f>
        <v>12</v>
      </c>
      <c r="X39" s="13">
        <f t="shared" si="5"/>
        <v>44</v>
      </c>
      <c r="Y39" s="62">
        <v>10</v>
      </c>
      <c r="Z39" s="143">
        <f>3+4+5+5+14</f>
        <v>31</v>
      </c>
      <c r="AA39" s="13">
        <f t="shared" si="27"/>
        <v>23</v>
      </c>
      <c r="AB39" s="62"/>
      <c r="AC39" s="143">
        <f>5</f>
        <v>5</v>
      </c>
      <c r="AD39" s="13">
        <f t="shared" si="28"/>
        <v>18</v>
      </c>
      <c r="AE39" s="61">
        <v>20</v>
      </c>
      <c r="AF39" s="143">
        <v>9</v>
      </c>
      <c r="AG39" s="13">
        <f t="shared" si="29"/>
        <v>29</v>
      </c>
      <c r="AH39" s="61">
        <v>20</v>
      </c>
      <c r="AI39" s="143">
        <f>1+1+1+14</f>
        <v>17</v>
      </c>
      <c r="AJ39" s="13">
        <f t="shared" si="30"/>
        <v>32</v>
      </c>
      <c r="AK39" s="62">
        <f>-9+50</f>
        <v>41</v>
      </c>
      <c r="AL39" s="143">
        <f>2+30</f>
        <v>32</v>
      </c>
      <c r="AM39" s="13">
        <f t="shared" si="6"/>
        <v>41</v>
      </c>
      <c r="AN39" s="61"/>
      <c r="AO39" s="143"/>
      <c r="AP39" s="13">
        <f t="shared" si="7"/>
        <v>41</v>
      </c>
      <c r="AQ39" s="62"/>
      <c r="AR39" s="143">
        <v>21</v>
      </c>
      <c r="AS39" s="13">
        <f t="shared" si="8"/>
        <v>20</v>
      </c>
      <c r="AT39" s="61">
        <v>10</v>
      </c>
      <c r="AU39" s="143">
        <v>11</v>
      </c>
      <c r="AV39" s="13">
        <f t="shared" si="9"/>
        <v>19</v>
      </c>
      <c r="AW39" s="62"/>
      <c r="AX39" s="143"/>
      <c r="AY39" s="13">
        <f t="shared" si="10"/>
        <v>19</v>
      </c>
      <c r="AZ39" s="62">
        <v>10</v>
      </c>
      <c r="BA39" s="143">
        <f>5</f>
        <v>5</v>
      </c>
      <c r="BB39" s="13">
        <f t="shared" si="11"/>
        <v>24</v>
      </c>
      <c r="BC39" s="62">
        <v>10</v>
      </c>
      <c r="BD39" s="143">
        <f>3+7</f>
        <v>10</v>
      </c>
      <c r="BE39" s="13">
        <f t="shared" si="12"/>
        <v>24</v>
      </c>
      <c r="BF39" s="62">
        <f>-21+40</f>
        <v>19</v>
      </c>
      <c r="BG39" s="143">
        <f>3+5+16</f>
        <v>24</v>
      </c>
      <c r="BH39" s="13">
        <f t="shared" si="13"/>
        <v>19</v>
      </c>
      <c r="BI39" s="62"/>
      <c r="BJ39" s="143"/>
      <c r="BK39" s="13">
        <f t="shared" si="14"/>
        <v>19</v>
      </c>
      <c r="BL39" s="62">
        <f>20+10</f>
        <v>30</v>
      </c>
      <c r="BM39" s="143">
        <v>19</v>
      </c>
      <c r="BN39" s="13">
        <f t="shared" si="15"/>
        <v>30</v>
      </c>
      <c r="BO39" s="62">
        <f>-5+20</f>
        <v>15</v>
      </c>
      <c r="BP39" s="143">
        <f>3+4+5+18</f>
        <v>30</v>
      </c>
      <c r="BQ39" s="13">
        <f t="shared" si="16"/>
        <v>15</v>
      </c>
      <c r="BR39" s="62"/>
      <c r="BS39" s="143">
        <f>4+4</f>
        <v>8</v>
      </c>
      <c r="BT39" s="13">
        <f t="shared" si="17"/>
        <v>7</v>
      </c>
      <c r="BU39" s="62">
        <f>-3+40+4</f>
        <v>41</v>
      </c>
      <c r="BV39" s="143">
        <f>2+5</f>
        <v>7</v>
      </c>
      <c r="BW39" s="13">
        <f t="shared" si="18"/>
        <v>41</v>
      </c>
      <c r="BX39" s="62"/>
      <c r="BY39" s="143">
        <f>18</f>
        <v>18</v>
      </c>
      <c r="BZ39" s="13">
        <f t="shared" si="19"/>
        <v>23</v>
      </c>
      <c r="CA39" s="61">
        <f>10-15+40</f>
        <v>35</v>
      </c>
      <c r="CB39" s="143">
        <f>2+21</f>
        <v>23</v>
      </c>
      <c r="CC39" s="13">
        <f t="shared" si="20"/>
        <v>35</v>
      </c>
      <c r="CD39" s="62"/>
      <c r="CE39" s="143"/>
      <c r="CF39" s="13">
        <f t="shared" si="21"/>
        <v>35</v>
      </c>
      <c r="CG39" s="61">
        <v>30</v>
      </c>
      <c r="CH39" s="143">
        <f>3+3+2+2+11</f>
        <v>21</v>
      </c>
      <c r="CI39" s="13">
        <f t="shared" si="31"/>
        <v>44</v>
      </c>
      <c r="CJ39" s="62"/>
      <c r="CK39" s="143">
        <f>4+20</f>
        <v>24</v>
      </c>
      <c r="CL39" s="13">
        <f t="shared" si="32"/>
        <v>20</v>
      </c>
      <c r="CM39" s="61"/>
      <c r="CN39" s="143"/>
      <c r="CO39" s="13">
        <f t="shared" si="22"/>
        <v>20</v>
      </c>
      <c r="CP39" s="61">
        <f>-2+20</f>
        <v>18</v>
      </c>
      <c r="CQ39" s="143">
        <v>20</v>
      </c>
      <c r="CR39" s="13">
        <f t="shared" si="33"/>
        <v>18</v>
      </c>
      <c r="CS39" s="62">
        <v>10</v>
      </c>
      <c r="CT39" s="143">
        <f>1+4+12</f>
        <v>17</v>
      </c>
      <c r="CU39" s="14">
        <f t="shared" si="23"/>
        <v>11</v>
      </c>
      <c r="CV39" s="5">
        <f t="shared" si="36"/>
        <v>393</v>
      </c>
      <c r="CW39" s="4">
        <f t="shared" si="36"/>
        <v>400</v>
      </c>
      <c r="CX39" s="6">
        <f t="shared" si="25"/>
        <v>11</v>
      </c>
      <c r="CY39" s="162">
        <v>14</v>
      </c>
      <c r="CZ39" s="171">
        <f t="shared" si="26"/>
        <v>154</v>
      </c>
      <c r="DB39" s="2">
        <f t="shared" si="34"/>
        <v>11</v>
      </c>
      <c r="DC39" s="61"/>
      <c r="DD39" s="143"/>
      <c r="DE39" s="149">
        <f t="shared" si="35"/>
        <v>11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20</v>
      </c>
      <c r="E40" s="159" t="s">
        <v>85</v>
      </c>
      <c r="F40" s="14">
        <v>25.700000000000017</v>
      </c>
      <c r="G40" s="62"/>
      <c r="H40" s="143">
        <f>2.5+0.9+2.5+1.1+0.7+0.4+0.6</f>
        <v>8.6999999999999993</v>
      </c>
      <c r="I40" s="13">
        <f t="shared" si="0"/>
        <v>17.000000000000018</v>
      </c>
      <c r="J40" s="62">
        <v>20</v>
      </c>
      <c r="K40" s="143">
        <f>1.3+1.8+1.7+1.8+1.5+0.6</f>
        <v>8.6999999999999993</v>
      </c>
      <c r="L40" s="13">
        <f t="shared" si="1"/>
        <v>28.300000000000015</v>
      </c>
      <c r="M40" s="62">
        <v>10</v>
      </c>
      <c r="N40" s="143">
        <f>2.5+0.2+2.3+0.3+3.3+0.5</f>
        <v>9.1</v>
      </c>
      <c r="O40" s="13">
        <f t="shared" si="2"/>
        <v>29.20000000000001</v>
      </c>
      <c r="P40" s="62"/>
      <c r="Q40" s="143">
        <f>0.8</f>
        <v>0.8</v>
      </c>
      <c r="R40" s="30">
        <f t="shared" si="3"/>
        <v>28.400000000000009</v>
      </c>
      <c r="S40" s="62"/>
      <c r="T40" s="143"/>
      <c r="U40" s="13">
        <f t="shared" si="4"/>
        <v>28.400000000000009</v>
      </c>
      <c r="V40" s="62">
        <v>20</v>
      </c>
      <c r="W40" s="143">
        <f>1.3+1+2+0.7+1+1.2+1+2.3+0.8+0.5+1.5</f>
        <v>13.3</v>
      </c>
      <c r="X40" s="13">
        <f t="shared" si="5"/>
        <v>35.100000000000009</v>
      </c>
      <c r="Y40" s="62">
        <v>30</v>
      </c>
      <c r="Z40" s="143">
        <f>1.5+2.2+0.9+2.8+0.9+0.8+0.6</f>
        <v>9.7000000000000011</v>
      </c>
      <c r="AA40" s="13">
        <f t="shared" si="27"/>
        <v>55.400000000000006</v>
      </c>
      <c r="AB40" s="62"/>
      <c r="AC40" s="143">
        <f>1.3+1.8+0.5+1.8+1.3+1.5+0.5+5.5</f>
        <v>14.2</v>
      </c>
      <c r="AD40" s="13">
        <f t="shared" si="28"/>
        <v>41.2</v>
      </c>
      <c r="AE40" s="61"/>
      <c r="AF40" s="143">
        <f>1.5+1.4+1.4+1.4+0.9+0.9+1.4</f>
        <v>8.9</v>
      </c>
      <c r="AG40" s="13">
        <f t="shared" si="29"/>
        <v>32.300000000000004</v>
      </c>
      <c r="AH40" s="61">
        <v>20</v>
      </c>
      <c r="AI40" s="143">
        <f>1.6+0.2+0.2+0.2+0.2+0.2+0.2</f>
        <v>2.8000000000000007</v>
      </c>
      <c r="AJ40" s="13">
        <f t="shared" si="30"/>
        <v>49.5</v>
      </c>
      <c r="AK40" s="62"/>
      <c r="AL40" s="143">
        <f>1+0.9</f>
        <v>1.9</v>
      </c>
      <c r="AM40" s="13">
        <f t="shared" si="6"/>
        <v>47.6</v>
      </c>
      <c r="AN40" s="61"/>
      <c r="AO40" s="143"/>
      <c r="AP40" s="13">
        <f t="shared" si="7"/>
        <v>47.6</v>
      </c>
      <c r="AQ40" s="62"/>
      <c r="AR40" s="143"/>
      <c r="AS40" s="13">
        <f t="shared" si="8"/>
        <v>47.6</v>
      </c>
      <c r="AT40" s="61">
        <v>20</v>
      </c>
      <c r="AU40" s="143">
        <f>1.4+2.2+2.6+1.1+2+1.1+0.9+0.8+1+2.2+0.8+0.7</f>
        <v>16.8</v>
      </c>
      <c r="AV40" s="13">
        <f t="shared" si="9"/>
        <v>50.8</v>
      </c>
      <c r="AW40" s="62"/>
      <c r="AX40" s="143">
        <f>2.5+1.6+2.5+1.3+0.8+1</f>
        <v>9.6999999999999993</v>
      </c>
      <c r="AY40" s="13">
        <f t="shared" si="10"/>
        <v>41.099999999999994</v>
      </c>
      <c r="AZ40" s="62">
        <v>20</v>
      </c>
      <c r="BA40" s="143">
        <f>1.4+3.1+1.7+1.6+1+0.3+0.9+0.6+3.7</f>
        <v>14.3</v>
      </c>
      <c r="BB40" s="13">
        <f t="shared" si="11"/>
        <v>46.8</v>
      </c>
      <c r="BC40" s="62"/>
      <c r="BD40" s="143">
        <f>2.5+0.2+0.5+0.2+0.3+0.2+0.3</f>
        <v>4.2</v>
      </c>
      <c r="BE40" s="13">
        <f t="shared" si="12"/>
        <v>42.599999999999994</v>
      </c>
      <c r="BF40" s="62"/>
      <c r="BG40" s="143">
        <f>1.9+0.5+1.1</f>
        <v>3.5</v>
      </c>
      <c r="BH40" s="13">
        <f t="shared" si="13"/>
        <v>39.099999999999994</v>
      </c>
      <c r="BI40" s="62"/>
      <c r="BJ40" s="143"/>
      <c r="BK40" s="13">
        <f t="shared" si="14"/>
        <v>39.099999999999994</v>
      </c>
      <c r="BL40" s="62"/>
      <c r="BM40" s="143">
        <f>1.4+1.5+2+0.8+0.9+0.7+0.9+1.1+0.3+1</f>
        <v>10.600000000000001</v>
      </c>
      <c r="BN40" s="13">
        <f t="shared" si="15"/>
        <v>28.499999999999993</v>
      </c>
      <c r="BO40" s="62">
        <v>30</v>
      </c>
      <c r="BP40" s="143">
        <f>1.3+2+0.9+1.5+0.8+1.6+0.8+0.2</f>
        <v>9.1</v>
      </c>
      <c r="BQ40" s="13">
        <f t="shared" si="16"/>
        <v>49.399999999999991</v>
      </c>
      <c r="BR40" s="62"/>
      <c r="BS40" s="143">
        <f>1.3+0.9+0.5+1.1+1.3+0.4+1.5+2.5</f>
        <v>9.5</v>
      </c>
      <c r="BT40" s="13">
        <f t="shared" si="17"/>
        <v>39.899999999999991</v>
      </c>
      <c r="BU40" s="62"/>
      <c r="BV40" s="143">
        <f>1.4+2+0.5+2+1.2+1+0.6+1</f>
        <v>9.7000000000000011</v>
      </c>
      <c r="BW40" s="13">
        <f t="shared" si="18"/>
        <v>30.199999999999989</v>
      </c>
      <c r="BX40" s="62"/>
      <c r="BY40" s="143">
        <f>1.5+0.2+0.2+0.2+0.2+0.2+0.2+0.4+3.2</f>
        <v>6.3000000000000007</v>
      </c>
      <c r="BZ40" s="13">
        <f t="shared" si="19"/>
        <v>23.899999999999988</v>
      </c>
      <c r="CA40" s="62">
        <v>20</v>
      </c>
      <c r="CB40" s="143">
        <f>1.7+1.1</f>
        <v>2.8</v>
      </c>
      <c r="CC40" s="13">
        <f t="shared" si="20"/>
        <v>41.099999999999994</v>
      </c>
      <c r="CD40" s="62"/>
      <c r="CE40" s="143"/>
      <c r="CF40" s="13">
        <f t="shared" si="21"/>
        <v>41.099999999999994</v>
      </c>
      <c r="CG40" s="62">
        <v>20</v>
      </c>
      <c r="CH40" s="143">
        <f>1.3+1.3+1.8+0.9+1.6+1.2+1.4+0.9+1.2+1.2</f>
        <v>12.799999999999999</v>
      </c>
      <c r="CI40" s="13">
        <f t="shared" si="31"/>
        <v>48.3</v>
      </c>
      <c r="CJ40" s="62"/>
      <c r="CK40" s="143">
        <f>1.4+0.9+0.9+2.2+0.9+0.9+4.3</f>
        <v>11.5</v>
      </c>
      <c r="CL40" s="13">
        <f t="shared" si="32"/>
        <v>36.799999999999997</v>
      </c>
      <c r="CM40" s="62"/>
      <c r="CN40" s="143">
        <f>2.5+1.7+2.5+1.6+0.7+3.1+0.9</f>
        <v>13</v>
      </c>
      <c r="CO40" s="13">
        <f t="shared" si="22"/>
        <v>23.799999999999997</v>
      </c>
      <c r="CP40" s="62">
        <v>20</v>
      </c>
      <c r="CQ40" s="143">
        <f>1.4+2.2+1.7+2.5+1.2+2.3+0.8+1</f>
        <v>13.100000000000001</v>
      </c>
      <c r="CR40" s="13">
        <f t="shared" si="33"/>
        <v>30.699999999999996</v>
      </c>
      <c r="CS40" s="62"/>
      <c r="CT40" s="143">
        <f>2.1+0.2+0.2+0.1+0.1+0.3+3.2</f>
        <v>6.2000000000000011</v>
      </c>
      <c r="CU40" s="14">
        <f t="shared" si="23"/>
        <v>24.499999999999993</v>
      </c>
      <c r="CV40" s="5">
        <f t="shared" si="36"/>
        <v>230</v>
      </c>
      <c r="CW40" s="4">
        <f t="shared" si="36"/>
        <v>231.20000000000002</v>
      </c>
      <c r="CX40" s="6">
        <f t="shared" si="25"/>
        <v>24.499999999999993</v>
      </c>
      <c r="CY40" s="162">
        <v>200</v>
      </c>
      <c r="CZ40" s="171">
        <f t="shared" si="26"/>
        <v>4899.9999999999982</v>
      </c>
      <c r="DB40" s="2">
        <f t="shared" si="34"/>
        <v>24.499999999999993</v>
      </c>
      <c r="DC40" s="62"/>
      <c r="DD40" s="143"/>
      <c r="DE40" s="149">
        <f t="shared" si="35"/>
        <v>24.499999999999993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1"/>
      <c r="AF41" s="143"/>
      <c r="AG41" s="13">
        <f t="shared" si="29"/>
        <v>0</v>
      </c>
      <c r="AH41" s="61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1"/>
      <c r="AO41" s="143"/>
      <c r="AP41" s="13">
        <f t="shared" si="7"/>
        <v>0</v>
      </c>
      <c r="AQ41" s="62"/>
      <c r="AR41" s="143"/>
      <c r="AS41" s="13">
        <f t="shared" si="8"/>
        <v>0</v>
      </c>
      <c r="AT41" s="61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1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1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1"/>
      <c r="CN41" s="143"/>
      <c r="CO41" s="13">
        <f t="shared" si="22"/>
        <v>0</v>
      </c>
      <c r="CP41" s="61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/>
      <c r="H42" s="143"/>
      <c r="I42" s="13">
        <f t="shared" si="0"/>
        <v>0</v>
      </c>
      <c r="J42" s="62"/>
      <c r="K42" s="143"/>
      <c r="L42" s="13">
        <f t="shared" si="1"/>
        <v>0</v>
      </c>
      <c r="M42" s="62">
        <v>1</v>
      </c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1">
        <v>1</v>
      </c>
      <c r="AF42" s="143">
        <v>1</v>
      </c>
      <c r="AG42" s="13">
        <f t="shared" si="29"/>
        <v>1</v>
      </c>
      <c r="AH42" s="61"/>
      <c r="AI42" s="143"/>
      <c r="AJ42" s="13">
        <f t="shared" si="30"/>
        <v>1</v>
      </c>
      <c r="AK42" s="62"/>
      <c r="AL42" s="143"/>
      <c r="AM42" s="13">
        <f t="shared" si="6"/>
        <v>1</v>
      </c>
      <c r="AN42" s="61"/>
      <c r="AO42" s="143"/>
      <c r="AP42" s="13">
        <f t="shared" si="7"/>
        <v>1</v>
      </c>
      <c r="AQ42" s="62"/>
      <c r="AR42" s="143"/>
      <c r="AS42" s="13">
        <f t="shared" si="8"/>
        <v>1</v>
      </c>
      <c r="AT42" s="61">
        <v>1</v>
      </c>
      <c r="AU42" s="143">
        <v>1</v>
      </c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>
        <v>1</v>
      </c>
      <c r="BW42" s="13">
        <f t="shared" si="18"/>
        <v>0</v>
      </c>
      <c r="BX42" s="62"/>
      <c r="BY42" s="143"/>
      <c r="BZ42" s="13">
        <f t="shared" si="19"/>
        <v>0</v>
      </c>
      <c r="CA42" s="61"/>
      <c r="CB42" s="143"/>
      <c r="CC42" s="13">
        <f t="shared" si="20"/>
        <v>0</v>
      </c>
      <c r="CD42" s="62"/>
      <c r="CE42" s="143"/>
      <c r="CF42" s="13">
        <f t="shared" si="21"/>
        <v>0</v>
      </c>
      <c r="CG42" s="61">
        <v>1</v>
      </c>
      <c r="CH42" s="143"/>
      <c r="CI42" s="13">
        <f t="shared" si="31"/>
        <v>1</v>
      </c>
      <c r="CJ42" s="62"/>
      <c r="CK42" s="143"/>
      <c r="CL42" s="13">
        <f t="shared" si="32"/>
        <v>1</v>
      </c>
      <c r="CM42" s="61"/>
      <c r="CN42" s="143"/>
      <c r="CO42" s="13">
        <f t="shared" si="22"/>
        <v>1</v>
      </c>
      <c r="CP42" s="61"/>
      <c r="CQ42" s="143">
        <v>1</v>
      </c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0.5</v>
      </c>
      <c r="G43" s="62"/>
      <c r="H43" s="143">
        <f>0.5</f>
        <v>0.5</v>
      </c>
      <c r="I43" s="13">
        <f t="shared" si="0"/>
        <v>0</v>
      </c>
      <c r="J43" s="62"/>
      <c r="K43" s="143"/>
      <c r="L43" s="13">
        <f t="shared" si="1"/>
        <v>0</v>
      </c>
      <c r="M43" s="62">
        <f>-1+2</f>
        <v>1</v>
      </c>
      <c r="N43" s="143"/>
      <c r="O43" s="13">
        <f t="shared" si="2"/>
        <v>1</v>
      </c>
      <c r="P43" s="62"/>
      <c r="Q43" s="143"/>
      <c r="R43" s="30">
        <f t="shared" si="3"/>
        <v>1</v>
      </c>
      <c r="S43" s="62"/>
      <c r="T43" s="143"/>
      <c r="U43" s="13">
        <f t="shared" si="4"/>
        <v>1</v>
      </c>
      <c r="V43" s="62">
        <v>1</v>
      </c>
      <c r="W43" s="143">
        <f>0.5+0.5</f>
        <v>1</v>
      </c>
      <c r="X43" s="13">
        <f t="shared" si="5"/>
        <v>1</v>
      </c>
      <c r="Y43" s="62">
        <v>4</v>
      </c>
      <c r="Z43" s="143">
        <v>1</v>
      </c>
      <c r="AA43" s="13">
        <f t="shared" si="27"/>
        <v>4</v>
      </c>
      <c r="AB43" s="62"/>
      <c r="AC43" s="143">
        <f>1+0.5+0.5</f>
        <v>2</v>
      </c>
      <c r="AD43" s="13">
        <f t="shared" si="28"/>
        <v>2</v>
      </c>
      <c r="AE43" s="61"/>
      <c r="AF43" s="143">
        <f>1.5</f>
        <v>1.5</v>
      </c>
      <c r="AG43" s="13">
        <f t="shared" si="29"/>
        <v>0.5</v>
      </c>
      <c r="AH43" s="61">
        <v>3</v>
      </c>
      <c r="AI43" s="143"/>
      <c r="AJ43" s="13">
        <f t="shared" si="30"/>
        <v>3.5</v>
      </c>
      <c r="AK43" s="62"/>
      <c r="AL43" s="143"/>
      <c r="AM43" s="13">
        <f t="shared" si="6"/>
        <v>3.5</v>
      </c>
      <c r="AN43" s="61"/>
      <c r="AO43" s="143"/>
      <c r="AP43" s="13">
        <f t="shared" si="7"/>
        <v>3.5</v>
      </c>
      <c r="AQ43" s="62"/>
      <c r="AR43" s="143"/>
      <c r="AS43" s="13">
        <f t="shared" si="8"/>
        <v>3.5</v>
      </c>
      <c r="AT43" s="61">
        <v>2</v>
      </c>
      <c r="AU43" s="143">
        <f>0.5+2+1</f>
        <v>3.5</v>
      </c>
      <c r="AV43" s="13">
        <f t="shared" si="9"/>
        <v>2</v>
      </c>
      <c r="AW43" s="62"/>
      <c r="AX43" s="143">
        <f>0.5+1</f>
        <v>1.5</v>
      </c>
      <c r="AY43" s="13">
        <f t="shared" si="10"/>
        <v>0.5</v>
      </c>
      <c r="AZ43" s="62"/>
      <c r="BA43" s="143"/>
      <c r="BB43" s="13">
        <f t="shared" si="11"/>
        <v>0.5</v>
      </c>
      <c r="BC43" s="62">
        <v>1</v>
      </c>
      <c r="BD43" s="143"/>
      <c r="BE43" s="13">
        <f t="shared" si="12"/>
        <v>1.5</v>
      </c>
      <c r="BF43" s="62">
        <v>1</v>
      </c>
      <c r="BG43" s="143">
        <f>1</f>
        <v>1</v>
      </c>
      <c r="BH43" s="13">
        <f t="shared" si="13"/>
        <v>1.5</v>
      </c>
      <c r="BI43" s="62"/>
      <c r="BJ43" s="143"/>
      <c r="BK43" s="13">
        <f t="shared" si="14"/>
        <v>1.5</v>
      </c>
      <c r="BL43" s="62"/>
      <c r="BM43" s="143">
        <v>1</v>
      </c>
      <c r="BN43" s="13">
        <f t="shared" si="15"/>
        <v>0.5</v>
      </c>
      <c r="BO43" s="62">
        <v>7</v>
      </c>
      <c r="BP43" s="143">
        <v>0.5</v>
      </c>
      <c r="BQ43" s="13">
        <f t="shared" si="16"/>
        <v>7</v>
      </c>
      <c r="BR43" s="62"/>
      <c r="BS43" s="143">
        <f>0.5+0.5+0.5</f>
        <v>1.5</v>
      </c>
      <c r="BT43" s="13">
        <f t="shared" si="17"/>
        <v>5.5</v>
      </c>
      <c r="BU43" s="62"/>
      <c r="BV43" s="143">
        <f>1+1+1+0.5</f>
        <v>3.5</v>
      </c>
      <c r="BW43" s="13">
        <f t="shared" si="18"/>
        <v>2</v>
      </c>
      <c r="BX43" s="62"/>
      <c r="BY43" s="143"/>
      <c r="BZ43" s="13">
        <f t="shared" si="19"/>
        <v>2</v>
      </c>
      <c r="CA43" s="62"/>
      <c r="CB43" s="143"/>
      <c r="CC43" s="13">
        <f t="shared" si="20"/>
        <v>2</v>
      </c>
      <c r="CD43" s="62"/>
      <c r="CE43" s="143"/>
      <c r="CF43" s="13">
        <f t="shared" si="21"/>
        <v>2</v>
      </c>
      <c r="CG43" s="62">
        <v>3</v>
      </c>
      <c r="CH43" s="143">
        <v>1</v>
      </c>
      <c r="CI43" s="13">
        <f t="shared" si="31"/>
        <v>4</v>
      </c>
      <c r="CJ43" s="62">
        <v>2</v>
      </c>
      <c r="CK43" s="143">
        <f>1+1+2</f>
        <v>4</v>
      </c>
      <c r="CL43" s="13">
        <f t="shared" si="32"/>
        <v>2</v>
      </c>
      <c r="CM43" s="62"/>
      <c r="CN43" s="143">
        <v>0.5</v>
      </c>
      <c r="CO43" s="13">
        <f t="shared" si="22"/>
        <v>1.5</v>
      </c>
      <c r="CP43" s="62">
        <v>1</v>
      </c>
      <c r="CQ43" s="143">
        <f>1</f>
        <v>1</v>
      </c>
      <c r="CR43" s="13">
        <f t="shared" si="33"/>
        <v>1.5</v>
      </c>
      <c r="CS43" s="62"/>
      <c r="CT43" s="143">
        <f>1.5</f>
        <v>1.5</v>
      </c>
      <c r="CU43" s="14">
        <f t="shared" si="23"/>
        <v>0</v>
      </c>
      <c r="CV43" s="5">
        <f t="shared" si="36"/>
        <v>26</v>
      </c>
      <c r="CW43" s="4">
        <f t="shared" si="36"/>
        <v>26.5</v>
      </c>
      <c r="CX43" s="6">
        <f t="shared" si="25"/>
        <v>0</v>
      </c>
      <c r="CY43" s="162">
        <v>350</v>
      </c>
      <c r="CZ43" s="171">
        <f t="shared" si="26"/>
        <v>0</v>
      </c>
      <c r="DB43" s="2">
        <f t="shared" si="34"/>
        <v>0</v>
      </c>
      <c r="DC43" s="62"/>
      <c r="DD43" s="143"/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1"/>
      <c r="AF44" s="143"/>
      <c r="AG44" s="13">
        <f t="shared" si="29"/>
        <v>0</v>
      </c>
      <c r="AH44" s="61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1"/>
      <c r="AO44" s="143"/>
      <c r="AP44" s="13">
        <f t="shared" si="7"/>
        <v>0</v>
      </c>
      <c r="AQ44" s="62"/>
      <c r="AR44" s="143"/>
      <c r="AS44" s="13">
        <f t="shared" si="8"/>
        <v>0</v>
      </c>
      <c r="AT44" s="61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1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1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1"/>
      <c r="CN44" s="143"/>
      <c r="CO44" s="13">
        <f t="shared" si="22"/>
        <v>0</v>
      </c>
      <c r="CP44" s="61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/>
      <c r="E45" s="34" t="s">
        <v>21</v>
      </c>
      <c r="F45" s="14">
        <v>1</v>
      </c>
      <c r="G45" s="62"/>
      <c r="H45" s="143"/>
      <c r="I45" s="13">
        <f t="shared" si="0"/>
        <v>1</v>
      </c>
      <c r="J45" s="62"/>
      <c r="K45" s="143"/>
      <c r="L45" s="13">
        <f t="shared" si="1"/>
        <v>1</v>
      </c>
      <c r="M45" s="62"/>
      <c r="N45" s="143"/>
      <c r="O45" s="13">
        <f t="shared" si="2"/>
        <v>1</v>
      </c>
      <c r="P45" s="62"/>
      <c r="Q45" s="143"/>
      <c r="R45" s="30">
        <f t="shared" si="3"/>
        <v>1</v>
      </c>
      <c r="S45" s="62"/>
      <c r="T45" s="143"/>
      <c r="U45" s="13">
        <f t="shared" si="4"/>
        <v>1</v>
      </c>
      <c r="V45" s="62"/>
      <c r="W45" s="143"/>
      <c r="X45" s="13">
        <f t="shared" si="5"/>
        <v>1</v>
      </c>
      <c r="Y45" s="62">
        <v>2</v>
      </c>
      <c r="Z45" s="143"/>
      <c r="AA45" s="13">
        <f t="shared" si="27"/>
        <v>3</v>
      </c>
      <c r="AB45" s="62"/>
      <c r="AC45" s="143"/>
      <c r="AD45" s="13">
        <f t="shared" si="28"/>
        <v>3</v>
      </c>
      <c r="AE45" s="61"/>
      <c r="AF45" s="143">
        <v>3</v>
      </c>
      <c r="AG45" s="13">
        <f t="shared" si="29"/>
        <v>0</v>
      </c>
      <c r="AH45" s="61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1"/>
      <c r="AO45" s="143"/>
      <c r="AP45" s="13">
        <f t="shared" si="7"/>
        <v>0</v>
      </c>
      <c r="AQ45" s="62"/>
      <c r="AR45" s="143"/>
      <c r="AS45" s="13">
        <f t="shared" si="8"/>
        <v>0</v>
      </c>
      <c r="AT45" s="61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>
        <v>4</v>
      </c>
      <c r="BP45" s="143"/>
      <c r="BQ45" s="13">
        <f t="shared" si="16"/>
        <v>4</v>
      </c>
      <c r="BR45" s="62"/>
      <c r="BS45" s="143">
        <f>2</f>
        <v>2</v>
      </c>
      <c r="BT45" s="13">
        <f t="shared" si="17"/>
        <v>2</v>
      </c>
      <c r="BU45" s="62"/>
      <c r="BV45" s="143">
        <f>2</f>
        <v>2</v>
      </c>
      <c r="BW45" s="13">
        <f t="shared" si="18"/>
        <v>0</v>
      </c>
      <c r="BX45" s="62"/>
      <c r="BY45" s="143"/>
      <c r="BZ45" s="13">
        <f t="shared" si="19"/>
        <v>0</v>
      </c>
      <c r="CA45" s="62">
        <v>7</v>
      </c>
      <c r="CB45" s="143"/>
      <c r="CC45" s="13">
        <f t="shared" si="20"/>
        <v>7</v>
      </c>
      <c r="CD45" s="62"/>
      <c r="CE45" s="143"/>
      <c r="CF45" s="13">
        <f t="shared" si="21"/>
        <v>7</v>
      </c>
      <c r="CG45" s="62"/>
      <c r="CH45" s="143">
        <f>3+2+2</f>
        <v>7</v>
      </c>
      <c r="CI45" s="13">
        <f t="shared" si="31"/>
        <v>0</v>
      </c>
      <c r="CJ45" s="62"/>
      <c r="CK45" s="143"/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13</v>
      </c>
      <c r="CW45" s="4">
        <f t="shared" si="36"/>
        <v>14</v>
      </c>
      <c r="CX45" s="6">
        <f t="shared" si="25"/>
        <v>0</v>
      </c>
      <c r="CY45" s="162">
        <v>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/>
      <c r="E46" s="34" t="s">
        <v>21</v>
      </c>
      <c r="F46" s="14">
        <v>4</v>
      </c>
      <c r="G46" s="176"/>
      <c r="H46" s="143">
        <v>4</v>
      </c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/>
      <c r="T46" s="143"/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63"/>
      <c r="AF46" s="143"/>
      <c r="AG46" s="13">
        <f t="shared" si="29"/>
        <v>0</v>
      </c>
      <c r="AH46" s="63"/>
      <c r="AI46" s="143"/>
      <c r="AJ46" s="13">
        <f t="shared" si="30"/>
        <v>0</v>
      </c>
      <c r="AK46" s="176"/>
      <c r="AL46" s="143"/>
      <c r="AM46" s="13">
        <f t="shared" si="6"/>
        <v>0</v>
      </c>
      <c r="AN46" s="63"/>
      <c r="AO46" s="143"/>
      <c r="AP46" s="13">
        <f t="shared" si="7"/>
        <v>0</v>
      </c>
      <c r="AQ46" s="176"/>
      <c r="AR46" s="143"/>
      <c r="AS46" s="13">
        <f t="shared" si="8"/>
        <v>0</v>
      </c>
      <c r="AT46" s="63">
        <v>5</v>
      </c>
      <c r="AU46" s="143"/>
      <c r="AV46" s="13">
        <f t="shared" si="9"/>
        <v>5</v>
      </c>
      <c r="AW46" s="176"/>
      <c r="AX46" s="143">
        <f>4</f>
        <v>4</v>
      </c>
      <c r="AY46" s="13">
        <f t="shared" si="10"/>
        <v>1</v>
      </c>
      <c r="AZ46" s="176"/>
      <c r="BA46" s="143"/>
      <c r="BB46" s="13">
        <f t="shared" si="11"/>
        <v>1</v>
      </c>
      <c r="BC46" s="176"/>
      <c r="BD46" s="143"/>
      <c r="BE46" s="13">
        <f t="shared" si="12"/>
        <v>1</v>
      </c>
      <c r="BF46" s="176"/>
      <c r="BG46" s="143"/>
      <c r="BH46" s="13">
        <f t="shared" si="13"/>
        <v>1</v>
      </c>
      <c r="BI46" s="176"/>
      <c r="BJ46" s="143"/>
      <c r="BK46" s="13">
        <f t="shared" si="14"/>
        <v>1</v>
      </c>
      <c r="BL46" s="176"/>
      <c r="BM46" s="143"/>
      <c r="BN46" s="13">
        <f t="shared" si="15"/>
        <v>1</v>
      </c>
      <c r="BO46" s="176"/>
      <c r="BP46" s="143"/>
      <c r="BQ46" s="13">
        <f t="shared" si="16"/>
        <v>1</v>
      </c>
      <c r="BR46" s="176"/>
      <c r="BS46" s="143"/>
      <c r="BT46" s="13">
        <f t="shared" si="17"/>
        <v>1</v>
      </c>
      <c r="BU46" s="176"/>
      <c r="BV46" s="143"/>
      <c r="BW46" s="13">
        <f t="shared" si="18"/>
        <v>1</v>
      </c>
      <c r="BX46" s="176"/>
      <c r="BY46" s="143"/>
      <c r="BZ46" s="13">
        <f t="shared" si="19"/>
        <v>1</v>
      </c>
      <c r="CA46" s="63"/>
      <c r="CB46" s="143"/>
      <c r="CC46" s="13">
        <f t="shared" si="20"/>
        <v>1</v>
      </c>
      <c r="CD46" s="176"/>
      <c r="CE46" s="143"/>
      <c r="CF46" s="13">
        <f t="shared" si="21"/>
        <v>1</v>
      </c>
      <c r="CG46" s="63"/>
      <c r="CH46" s="143"/>
      <c r="CI46" s="13">
        <f t="shared" si="31"/>
        <v>1</v>
      </c>
      <c r="CJ46" s="176"/>
      <c r="CK46" s="143"/>
      <c r="CL46" s="13">
        <f t="shared" si="32"/>
        <v>1</v>
      </c>
      <c r="CM46" s="63"/>
      <c r="CN46" s="143"/>
      <c r="CO46" s="13">
        <f t="shared" si="22"/>
        <v>1</v>
      </c>
      <c r="CP46" s="63"/>
      <c r="CQ46" s="143"/>
      <c r="CR46" s="13">
        <f t="shared" si="33"/>
        <v>1</v>
      </c>
      <c r="CS46" s="176"/>
      <c r="CT46" s="143"/>
      <c r="CU46" s="14">
        <f t="shared" si="23"/>
        <v>1</v>
      </c>
      <c r="CV46" s="5">
        <f t="shared" si="36"/>
        <v>5</v>
      </c>
      <c r="CW46" s="4">
        <f t="shared" si="36"/>
        <v>8</v>
      </c>
      <c r="CX46" s="6">
        <f t="shared" si="25"/>
        <v>1</v>
      </c>
      <c r="CY46" s="162">
        <v>220</v>
      </c>
      <c r="CZ46" s="171">
        <f t="shared" si="26"/>
        <v>220</v>
      </c>
      <c r="DB46" s="2">
        <f t="shared" si="34"/>
        <v>1</v>
      </c>
      <c r="DC46" s="63"/>
      <c r="DD46" s="143"/>
      <c r="DE46" s="149">
        <f t="shared" si="35"/>
        <v>1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>
        <v>8</v>
      </c>
      <c r="N47" s="143"/>
      <c r="O47" s="13">
        <f t="shared" si="2"/>
        <v>8</v>
      </c>
      <c r="P47" s="176"/>
      <c r="Q47" s="143"/>
      <c r="R47" s="30">
        <f t="shared" si="3"/>
        <v>8</v>
      </c>
      <c r="S47" s="176"/>
      <c r="T47" s="143"/>
      <c r="U47" s="13">
        <f t="shared" si="4"/>
        <v>8</v>
      </c>
      <c r="V47" s="176">
        <v>6</v>
      </c>
      <c r="W47" s="143">
        <f>2+5</f>
        <v>7</v>
      </c>
      <c r="X47" s="13">
        <f t="shared" si="5"/>
        <v>7</v>
      </c>
      <c r="Y47" s="176"/>
      <c r="Z47" s="143">
        <f>2+5</f>
        <v>7</v>
      </c>
      <c r="AA47" s="13">
        <f t="shared" si="27"/>
        <v>0</v>
      </c>
      <c r="AB47" s="176"/>
      <c r="AC47" s="143"/>
      <c r="AD47" s="13">
        <f t="shared" si="28"/>
        <v>0</v>
      </c>
      <c r="AE47" s="63">
        <v>4</v>
      </c>
      <c r="AF47" s="143"/>
      <c r="AG47" s="13">
        <f t="shared" si="29"/>
        <v>4</v>
      </c>
      <c r="AH47" s="63">
        <v>8</v>
      </c>
      <c r="AI47" s="143">
        <v>4</v>
      </c>
      <c r="AJ47" s="13">
        <f t="shared" si="30"/>
        <v>8</v>
      </c>
      <c r="AK47" s="176"/>
      <c r="AL47" s="143">
        <f>2</f>
        <v>2</v>
      </c>
      <c r="AM47" s="13">
        <f t="shared" si="6"/>
        <v>6</v>
      </c>
      <c r="AN47" s="63"/>
      <c r="AO47" s="143"/>
      <c r="AP47" s="13">
        <f t="shared" si="7"/>
        <v>6</v>
      </c>
      <c r="AQ47" s="176"/>
      <c r="AR47" s="143"/>
      <c r="AS47" s="13">
        <f t="shared" si="8"/>
        <v>6</v>
      </c>
      <c r="AT47" s="63">
        <v>2</v>
      </c>
      <c r="AU47" s="143">
        <f>3+2+1</f>
        <v>6</v>
      </c>
      <c r="AV47" s="13">
        <f t="shared" si="9"/>
        <v>2</v>
      </c>
      <c r="AW47" s="176"/>
      <c r="AX47" s="143">
        <f>2</f>
        <v>2</v>
      </c>
      <c r="AY47" s="13">
        <f t="shared" si="10"/>
        <v>0</v>
      </c>
      <c r="AZ47" s="176"/>
      <c r="BA47" s="143"/>
      <c r="BB47" s="13">
        <f t="shared" si="11"/>
        <v>0</v>
      </c>
      <c r="BC47" s="176">
        <f>9+4</f>
        <v>13</v>
      </c>
      <c r="BD47" s="143"/>
      <c r="BE47" s="13">
        <f t="shared" si="12"/>
        <v>13</v>
      </c>
      <c r="BF47" s="176">
        <v>2</v>
      </c>
      <c r="BG47" s="143">
        <f>2+4</f>
        <v>6</v>
      </c>
      <c r="BH47" s="13">
        <f t="shared" si="13"/>
        <v>9</v>
      </c>
      <c r="BI47" s="176"/>
      <c r="BJ47" s="143"/>
      <c r="BK47" s="13">
        <f t="shared" si="14"/>
        <v>9</v>
      </c>
      <c r="BL47" s="176"/>
      <c r="BM47" s="143">
        <f>3+2+2+2</f>
        <v>9</v>
      </c>
      <c r="BN47" s="13">
        <f t="shared" si="15"/>
        <v>0</v>
      </c>
      <c r="BO47" s="176"/>
      <c r="BP47" s="143"/>
      <c r="BQ47" s="13">
        <f t="shared" si="16"/>
        <v>0</v>
      </c>
      <c r="BR47" s="176"/>
      <c r="BS47" s="143"/>
      <c r="BT47" s="13">
        <f t="shared" si="17"/>
        <v>0</v>
      </c>
      <c r="BU47" s="176"/>
      <c r="BV47" s="143"/>
      <c r="BW47" s="13">
        <f t="shared" si="18"/>
        <v>0</v>
      </c>
      <c r="BX47" s="176"/>
      <c r="BY47" s="143"/>
      <c r="BZ47" s="13">
        <f t="shared" si="19"/>
        <v>0</v>
      </c>
      <c r="CA47" s="63"/>
      <c r="CB47" s="143"/>
      <c r="CC47" s="13">
        <f t="shared" si="20"/>
        <v>0</v>
      </c>
      <c r="CD47" s="176"/>
      <c r="CE47" s="143"/>
      <c r="CF47" s="13">
        <f t="shared" si="21"/>
        <v>0</v>
      </c>
      <c r="CG47" s="63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63"/>
      <c r="CN47" s="143"/>
      <c r="CO47" s="13">
        <f t="shared" si="22"/>
        <v>0</v>
      </c>
      <c r="CP47" s="63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43</v>
      </c>
      <c r="CW47" s="4">
        <f t="shared" si="36"/>
        <v>43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6.0500000000000052</v>
      </c>
      <c r="G48" s="62"/>
      <c r="H48" s="143"/>
      <c r="I48" s="13">
        <f t="shared" si="0"/>
        <v>6.0500000000000052</v>
      </c>
      <c r="J48" s="62">
        <v>4</v>
      </c>
      <c r="K48" s="143">
        <f>0.7+0.5+0.5+0.4+0.3+1.4</f>
        <v>3.8</v>
      </c>
      <c r="L48" s="13">
        <f t="shared" si="1"/>
        <v>6.2500000000000044</v>
      </c>
      <c r="M48" s="62">
        <v>4</v>
      </c>
      <c r="N48" s="143">
        <f>1+0.3+0.7+1.7</f>
        <v>3.7</v>
      </c>
      <c r="O48" s="13">
        <f t="shared" si="2"/>
        <v>6.5500000000000034</v>
      </c>
      <c r="P48" s="62"/>
      <c r="Q48" s="143">
        <f>0.82</f>
        <v>0.82</v>
      </c>
      <c r="R48" s="30">
        <f t="shared" si="3"/>
        <v>5.7300000000000031</v>
      </c>
      <c r="S48" s="62"/>
      <c r="T48" s="143"/>
      <c r="U48" s="13">
        <f t="shared" si="4"/>
        <v>5.7300000000000031</v>
      </c>
      <c r="V48" s="62"/>
      <c r="W48" s="143"/>
      <c r="X48" s="13">
        <f t="shared" si="5"/>
        <v>5.7300000000000031</v>
      </c>
      <c r="Y48" s="62"/>
      <c r="Z48" s="143">
        <f>0.7+0.9</f>
        <v>1.6</v>
      </c>
      <c r="AA48" s="13">
        <f t="shared" si="27"/>
        <v>4.1300000000000026</v>
      </c>
      <c r="AB48" s="62"/>
      <c r="AC48" s="143">
        <f>0.8</f>
        <v>0.8</v>
      </c>
      <c r="AD48" s="13">
        <f t="shared" si="28"/>
        <v>3.3300000000000027</v>
      </c>
      <c r="AE48" s="61">
        <v>4</v>
      </c>
      <c r="AF48" s="143">
        <f>1.2</f>
        <v>1.2</v>
      </c>
      <c r="AG48" s="13">
        <f t="shared" si="29"/>
        <v>6.1300000000000026</v>
      </c>
      <c r="AH48" s="61"/>
      <c r="AI48" s="143">
        <f>0.8</f>
        <v>0.8</v>
      </c>
      <c r="AJ48" s="13">
        <f t="shared" si="30"/>
        <v>5.3300000000000027</v>
      </c>
      <c r="AK48" s="62"/>
      <c r="AL48" s="143">
        <f>1.7</f>
        <v>1.7</v>
      </c>
      <c r="AM48" s="13">
        <f t="shared" si="6"/>
        <v>3.6300000000000026</v>
      </c>
      <c r="AN48" s="61"/>
      <c r="AO48" s="143"/>
      <c r="AP48" s="13">
        <f t="shared" si="7"/>
        <v>3.6300000000000026</v>
      </c>
      <c r="AQ48" s="62"/>
      <c r="AR48" s="143"/>
      <c r="AS48" s="13">
        <f t="shared" si="8"/>
        <v>3.6300000000000026</v>
      </c>
      <c r="AT48" s="61">
        <v>4</v>
      </c>
      <c r="AU48" s="143">
        <f>0.5+0.4+2.2+0.8</f>
        <v>3.9000000000000004</v>
      </c>
      <c r="AV48" s="13">
        <f t="shared" si="9"/>
        <v>3.7300000000000022</v>
      </c>
      <c r="AW48" s="62"/>
      <c r="AX48" s="143"/>
      <c r="AY48" s="13">
        <f t="shared" si="10"/>
        <v>3.7300000000000022</v>
      </c>
      <c r="AZ48" s="62">
        <v>4</v>
      </c>
      <c r="BA48" s="143">
        <f>0.5+0.7+0.4+0.3+0.2</f>
        <v>2.1</v>
      </c>
      <c r="BB48" s="13">
        <f t="shared" si="11"/>
        <v>5.6300000000000026</v>
      </c>
      <c r="BC48" s="62"/>
      <c r="BD48" s="143">
        <f>1+0.3+0.2</f>
        <v>1.5</v>
      </c>
      <c r="BE48" s="13">
        <f t="shared" si="12"/>
        <v>4.1300000000000026</v>
      </c>
      <c r="BF48" s="62"/>
      <c r="BG48" s="143">
        <f>0.7+0.9</f>
        <v>1.6</v>
      </c>
      <c r="BH48" s="13">
        <f t="shared" si="13"/>
        <v>2.5300000000000025</v>
      </c>
      <c r="BI48" s="62"/>
      <c r="BJ48" s="143"/>
      <c r="BK48" s="13">
        <f t="shared" si="14"/>
        <v>2.5300000000000025</v>
      </c>
      <c r="BL48" s="62">
        <v>4</v>
      </c>
      <c r="BM48" s="143">
        <f>0.7</f>
        <v>0.7</v>
      </c>
      <c r="BN48" s="13">
        <f t="shared" si="15"/>
        <v>5.8300000000000027</v>
      </c>
      <c r="BO48" s="62"/>
      <c r="BP48" s="143">
        <f>0.9+0.2</f>
        <v>1.1000000000000001</v>
      </c>
      <c r="BQ48" s="13">
        <f t="shared" si="16"/>
        <v>4.7300000000000022</v>
      </c>
      <c r="BR48" s="62"/>
      <c r="BS48" s="143">
        <f>0.2+0.8</f>
        <v>1</v>
      </c>
      <c r="BT48" s="13">
        <f t="shared" si="17"/>
        <v>3.7300000000000022</v>
      </c>
      <c r="BU48" s="62">
        <v>4</v>
      </c>
      <c r="BV48" s="143">
        <f>1+0.3</f>
        <v>1.3</v>
      </c>
      <c r="BW48" s="13">
        <f t="shared" si="18"/>
        <v>6.4300000000000024</v>
      </c>
      <c r="BX48" s="62"/>
      <c r="BY48" s="143">
        <f>0.8</f>
        <v>0.8</v>
      </c>
      <c r="BZ48" s="13">
        <f t="shared" si="19"/>
        <v>5.6300000000000026</v>
      </c>
      <c r="CA48" s="61"/>
      <c r="CB48" s="143">
        <f>0.5+0.9</f>
        <v>1.4</v>
      </c>
      <c r="CC48" s="13">
        <f t="shared" si="20"/>
        <v>4.2300000000000022</v>
      </c>
      <c r="CD48" s="62"/>
      <c r="CE48" s="143"/>
      <c r="CF48" s="13">
        <f t="shared" si="21"/>
        <v>4.2300000000000022</v>
      </c>
      <c r="CG48" s="61">
        <v>4</v>
      </c>
      <c r="CH48" s="143">
        <v>0.5</v>
      </c>
      <c r="CI48" s="13">
        <f t="shared" si="31"/>
        <v>7.7300000000000022</v>
      </c>
      <c r="CJ48" s="62"/>
      <c r="CK48" s="143">
        <f>0.5+0.8+0.5</f>
        <v>1.8</v>
      </c>
      <c r="CL48" s="13">
        <f t="shared" si="32"/>
        <v>5.9300000000000024</v>
      </c>
      <c r="CM48" s="61"/>
      <c r="CN48" s="143">
        <f>0.4</f>
        <v>0.4</v>
      </c>
      <c r="CO48" s="13">
        <f t="shared" si="22"/>
        <v>5.530000000000002</v>
      </c>
      <c r="CP48" s="61"/>
      <c r="CQ48" s="143">
        <f>0.7+1.1</f>
        <v>1.8</v>
      </c>
      <c r="CR48" s="13">
        <f t="shared" si="33"/>
        <v>3.7300000000000022</v>
      </c>
      <c r="CS48" s="62"/>
      <c r="CT48" s="143">
        <f>2</f>
        <v>2</v>
      </c>
      <c r="CU48" s="14">
        <f t="shared" si="23"/>
        <v>1.7300000000000022</v>
      </c>
      <c r="CV48" s="5">
        <f t="shared" si="36"/>
        <v>32</v>
      </c>
      <c r="CW48" s="4">
        <f t="shared" si="36"/>
        <v>36.32</v>
      </c>
      <c r="CX48" s="6">
        <f t="shared" si="25"/>
        <v>1.7300000000000022</v>
      </c>
      <c r="CY48" s="162">
        <v>700</v>
      </c>
      <c r="CZ48" s="171">
        <f t="shared" si="26"/>
        <v>1211.0000000000016</v>
      </c>
      <c r="DB48" s="2">
        <f t="shared" si="34"/>
        <v>1.7300000000000022</v>
      </c>
      <c r="DC48" s="61"/>
      <c r="DD48" s="143"/>
      <c r="DE48" s="149">
        <f t="shared" si="35"/>
        <v>1.7300000000000022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5</v>
      </c>
      <c r="G49" s="62"/>
      <c r="H49" s="143"/>
      <c r="I49" s="13">
        <f t="shared" si="0"/>
        <v>5</v>
      </c>
      <c r="J49" s="62">
        <v>10</v>
      </c>
      <c r="K49" s="143">
        <v>4</v>
      </c>
      <c r="L49" s="13">
        <f t="shared" si="1"/>
        <v>11</v>
      </c>
      <c r="M49" s="62">
        <v>10</v>
      </c>
      <c r="N49" s="143">
        <v>3</v>
      </c>
      <c r="O49" s="13">
        <f t="shared" si="2"/>
        <v>18</v>
      </c>
      <c r="P49" s="62"/>
      <c r="Q49" s="143">
        <v>4</v>
      </c>
      <c r="R49" s="30">
        <f t="shared" si="3"/>
        <v>14</v>
      </c>
      <c r="S49" s="62"/>
      <c r="T49" s="143"/>
      <c r="U49" s="13">
        <f t="shared" si="4"/>
        <v>14</v>
      </c>
      <c r="V49" s="62"/>
      <c r="W49" s="143">
        <v>1</v>
      </c>
      <c r="X49" s="13">
        <f t="shared" si="5"/>
        <v>13</v>
      </c>
      <c r="Y49" s="62"/>
      <c r="Z49" s="143">
        <v>2</v>
      </c>
      <c r="AA49" s="13">
        <f t="shared" si="27"/>
        <v>11</v>
      </c>
      <c r="AB49" s="62"/>
      <c r="AC49" s="143"/>
      <c r="AD49" s="13">
        <f t="shared" si="28"/>
        <v>11</v>
      </c>
      <c r="AE49" s="61">
        <v>10</v>
      </c>
      <c r="AF49" s="143">
        <v>5</v>
      </c>
      <c r="AG49" s="13">
        <f t="shared" si="29"/>
        <v>16</v>
      </c>
      <c r="AH49" s="61"/>
      <c r="AI49" s="143">
        <v>3</v>
      </c>
      <c r="AJ49" s="13">
        <f t="shared" si="30"/>
        <v>13</v>
      </c>
      <c r="AK49" s="62">
        <v>10</v>
      </c>
      <c r="AL49" s="143">
        <v>4</v>
      </c>
      <c r="AM49" s="13">
        <f t="shared" si="6"/>
        <v>19</v>
      </c>
      <c r="AN49" s="61"/>
      <c r="AO49" s="143"/>
      <c r="AP49" s="13">
        <f t="shared" si="7"/>
        <v>19</v>
      </c>
      <c r="AQ49" s="62"/>
      <c r="AR49" s="143">
        <v>3</v>
      </c>
      <c r="AS49" s="13">
        <f t="shared" si="8"/>
        <v>16</v>
      </c>
      <c r="AT49" s="61"/>
      <c r="AU49" s="143">
        <v>1</v>
      </c>
      <c r="AV49" s="13">
        <f t="shared" si="9"/>
        <v>15</v>
      </c>
      <c r="AW49" s="62"/>
      <c r="AX49" s="143"/>
      <c r="AY49" s="13">
        <f t="shared" si="10"/>
        <v>15</v>
      </c>
      <c r="AZ49" s="62">
        <v>10</v>
      </c>
      <c r="BA49" s="143">
        <v>1</v>
      </c>
      <c r="BB49" s="13">
        <f t="shared" si="11"/>
        <v>24</v>
      </c>
      <c r="BC49" s="62"/>
      <c r="BD49" s="143">
        <v>2</v>
      </c>
      <c r="BE49" s="13">
        <f t="shared" si="12"/>
        <v>22</v>
      </c>
      <c r="BF49" s="62"/>
      <c r="BG49" s="143">
        <v>6</v>
      </c>
      <c r="BH49" s="13">
        <f t="shared" si="13"/>
        <v>16</v>
      </c>
      <c r="BI49" s="62"/>
      <c r="BJ49" s="143"/>
      <c r="BK49" s="13">
        <f t="shared" si="14"/>
        <v>16</v>
      </c>
      <c r="BL49" s="62"/>
      <c r="BM49" s="143">
        <v>4</v>
      </c>
      <c r="BN49" s="13">
        <f t="shared" si="15"/>
        <v>12</v>
      </c>
      <c r="BO49" s="62"/>
      <c r="BP49" s="143">
        <v>2</v>
      </c>
      <c r="BQ49" s="13">
        <f t="shared" si="16"/>
        <v>10</v>
      </c>
      <c r="BR49" s="62"/>
      <c r="BS49" s="143"/>
      <c r="BT49" s="13">
        <f t="shared" si="17"/>
        <v>10</v>
      </c>
      <c r="BU49" s="62">
        <v>10</v>
      </c>
      <c r="BV49" s="143">
        <v>2</v>
      </c>
      <c r="BW49" s="13">
        <f t="shared" si="18"/>
        <v>18</v>
      </c>
      <c r="BX49" s="62"/>
      <c r="BY49" s="143">
        <v>4</v>
      </c>
      <c r="BZ49" s="13">
        <f t="shared" si="19"/>
        <v>14</v>
      </c>
      <c r="CA49" s="61"/>
      <c r="CB49" s="143">
        <v>2</v>
      </c>
      <c r="CC49" s="13">
        <f t="shared" si="20"/>
        <v>12</v>
      </c>
      <c r="CD49" s="62"/>
      <c r="CE49" s="143"/>
      <c r="CF49" s="13">
        <f t="shared" si="21"/>
        <v>12</v>
      </c>
      <c r="CG49" s="61"/>
      <c r="CH49" s="143">
        <v>4</v>
      </c>
      <c r="CI49" s="13">
        <f t="shared" si="31"/>
        <v>8</v>
      </c>
      <c r="CJ49" s="62">
        <v>10</v>
      </c>
      <c r="CK49" s="143">
        <v>3</v>
      </c>
      <c r="CL49" s="13">
        <f t="shared" si="32"/>
        <v>15</v>
      </c>
      <c r="CM49" s="61"/>
      <c r="CN49" s="143"/>
      <c r="CO49" s="13">
        <f t="shared" si="22"/>
        <v>15</v>
      </c>
      <c r="CP49" s="61"/>
      <c r="CQ49" s="143">
        <v>2</v>
      </c>
      <c r="CR49" s="13">
        <f t="shared" si="33"/>
        <v>13</v>
      </c>
      <c r="CS49" s="62"/>
      <c r="CT49" s="143">
        <v>2</v>
      </c>
      <c r="CU49" s="14">
        <f t="shared" si="23"/>
        <v>11</v>
      </c>
      <c r="CV49" s="5">
        <f t="shared" si="36"/>
        <v>70</v>
      </c>
      <c r="CW49" s="4">
        <f t="shared" si="36"/>
        <v>64</v>
      </c>
      <c r="CX49" s="6">
        <f t="shared" si="25"/>
        <v>11</v>
      </c>
      <c r="CY49" s="162">
        <v>872</v>
      </c>
      <c r="CZ49" s="171">
        <f t="shared" si="26"/>
        <v>9592</v>
      </c>
      <c r="DB49" s="2">
        <f t="shared" si="34"/>
        <v>11</v>
      </c>
      <c r="DC49" s="61"/>
      <c r="DD49" s="143"/>
      <c r="DE49" s="149">
        <f t="shared" si="35"/>
        <v>11</v>
      </c>
    </row>
    <row r="50" spans="1:109" ht="15.75" customHeight="1">
      <c r="A50" s="33"/>
      <c r="B50" s="3" t="s">
        <v>264</v>
      </c>
      <c r="C50" s="104" t="s">
        <v>27</v>
      </c>
      <c r="D50" s="34"/>
      <c r="E50" s="34" t="s">
        <v>27</v>
      </c>
      <c r="F50" s="14">
        <v>22</v>
      </c>
      <c r="G50" s="62"/>
      <c r="H50" s="143">
        <v>22</v>
      </c>
      <c r="I50" s="13">
        <f t="shared" si="0"/>
        <v>0</v>
      </c>
      <c r="J50" s="62">
        <f>-31+48</f>
        <v>17</v>
      </c>
      <c r="K50" s="143"/>
      <c r="L50" s="13">
        <f t="shared" si="1"/>
        <v>17</v>
      </c>
      <c r="M50" s="62">
        <v>36</v>
      </c>
      <c r="N50" s="143">
        <v>13</v>
      </c>
      <c r="O50" s="13">
        <f t="shared" si="2"/>
        <v>40</v>
      </c>
      <c r="P50" s="62">
        <v>36</v>
      </c>
      <c r="Q50" s="143">
        <v>39</v>
      </c>
      <c r="R50" s="30">
        <f t="shared" si="3"/>
        <v>37</v>
      </c>
      <c r="S50" s="62"/>
      <c r="T50" s="143"/>
      <c r="U50" s="13">
        <f t="shared" si="4"/>
        <v>37</v>
      </c>
      <c r="V50" s="62">
        <v>24</v>
      </c>
      <c r="W50" s="143">
        <v>16</v>
      </c>
      <c r="X50" s="13">
        <f t="shared" si="5"/>
        <v>45</v>
      </c>
      <c r="Y50" s="62"/>
      <c r="Z50" s="143">
        <v>8</v>
      </c>
      <c r="AA50" s="13">
        <f t="shared" si="27"/>
        <v>37</v>
      </c>
      <c r="AB50" s="62"/>
      <c r="AC50" s="143"/>
      <c r="AD50" s="13">
        <f t="shared" si="28"/>
        <v>37</v>
      </c>
      <c r="AE50" s="61">
        <v>2</v>
      </c>
      <c r="AF50" s="143">
        <v>29</v>
      </c>
      <c r="AG50" s="13">
        <f t="shared" si="29"/>
        <v>10</v>
      </c>
      <c r="AH50" s="61">
        <v>36</v>
      </c>
      <c r="AI50" s="143">
        <v>6</v>
      </c>
      <c r="AJ50" s="13">
        <f t="shared" si="30"/>
        <v>40</v>
      </c>
      <c r="AK50" s="62">
        <v>24</v>
      </c>
      <c r="AL50" s="143">
        <v>12</v>
      </c>
      <c r="AM50" s="13">
        <f t="shared" si="6"/>
        <v>52</v>
      </c>
      <c r="AN50" s="61"/>
      <c r="AO50" s="143"/>
      <c r="AP50" s="13">
        <f t="shared" si="7"/>
        <v>52</v>
      </c>
      <c r="AQ50" s="62"/>
      <c r="AR50" s="143">
        <v>18</v>
      </c>
      <c r="AS50" s="13">
        <f t="shared" si="8"/>
        <v>34</v>
      </c>
      <c r="AT50" s="61"/>
      <c r="AU50" s="143"/>
      <c r="AV50" s="13">
        <f t="shared" si="9"/>
        <v>34</v>
      </c>
      <c r="AW50" s="62"/>
      <c r="AX50" s="143"/>
      <c r="AY50" s="13">
        <f t="shared" si="10"/>
        <v>34</v>
      </c>
      <c r="AZ50" s="62"/>
      <c r="BA50" s="143">
        <v>17</v>
      </c>
      <c r="BB50" s="13">
        <f t="shared" si="11"/>
        <v>17</v>
      </c>
      <c r="BC50" s="62"/>
      <c r="BD50" s="143"/>
      <c r="BE50" s="13">
        <f t="shared" si="12"/>
        <v>17</v>
      </c>
      <c r="BF50" s="62"/>
      <c r="BG50" s="143">
        <v>7</v>
      </c>
      <c r="BH50" s="13">
        <f t="shared" si="13"/>
        <v>10</v>
      </c>
      <c r="BI50" s="62"/>
      <c r="BJ50" s="143"/>
      <c r="BK50" s="13">
        <f t="shared" si="14"/>
        <v>10</v>
      </c>
      <c r="BL50" s="62"/>
      <c r="BM50" s="143">
        <v>1</v>
      </c>
      <c r="BN50" s="13">
        <f t="shared" si="15"/>
        <v>9</v>
      </c>
      <c r="BO50" s="62">
        <v>12</v>
      </c>
      <c r="BP50" s="143">
        <v>4</v>
      </c>
      <c r="BQ50" s="13">
        <f t="shared" si="16"/>
        <v>17</v>
      </c>
      <c r="BR50" s="62"/>
      <c r="BS50" s="143"/>
      <c r="BT50" s="13">
        <f t="shared" si="17"/>
        <v>17</v>
      </c>
      <c r="BU50" s="62">
        <v>4</v>
      </c>
      <c r="BV50" s="143">
        <v>12</v>
      </c>
      <c r="BW50" s="13">
        <f t="shared" si="18"/>
        <v>9</v>
      </c>
      <c r="BX50" s="62"/>
      <c r="BY50" s="143"/>
      <c r="BZ50" s="13">
        <f t="shared" si="19"/>
        <v>9</v>
      </c>
      <c r="CA50" s="61">
        <v>5</v>
      </c>
      <c r="CB50" s="143">
        <v>8</v>
      </c>
      <c r="CC50" s="13">
        <f t="shared" si="20"/>
        <v>6</v>
      </c>
      <c r="CD50" s="62"/>
      <c r="CE50" s="143"/>
      <c r="CF50" s="13">
        <f t="shared" si="21"/>
        <v>6</v>
      </c>
      <c r="CG50" s="61"/>
      <c r="CH50" s="143">
        <v>2</v>
      </c>
      <c r="CI50" s="13">
        <f t="shared" si="31"/>
        <v>4</v>
      </c>
      <c r="CJ50" s="62"/>
      <c r="CK50" s="143"/>
      <c r="CL50" s="13">
        <f t="shared" si="32"/>
        <v>4</v>
      </c>
      <c r="CM50" s="61">
        <v>1</v>
      </c>
      <c r="CN50" s="143"/>
      <c r="CO50" s="13">
        <f t="shared" si="22"/>
        <v>5</v>
      </c>
      <c r="CP50" s="61">
        <f>-12+13</f>
        <v>1</v>
      </c>
      <c r="CQ50" s="143">
        <v>5</v>
      </c>
      <c r="CR50" s="13">
        <f t="shared" si="33"/>
        <v>1</v>
      </c>
      <c r="CS50" s="62">
        <v>2</v>
      </c>
      <c r="CT50" s="143">
        <v>1</v>
      </c>
      <c r="CU50" s="14">
        <f t="shared" si="23"/>
        <v>2</v>
      </c>
      <c r="CV50" s="5">
        <f t="shared" si="36"/>
        <v>200</v>
      </c>
      <c r="CW50" s="4">
        <f t="shared" si="36"/>
        <v>220</v>
      </c>
      <c r="CX50" s="6">
        <f t="shared" si="25"/>
        <v>2</v>
      </c>
      <c r="CY50" s="162">
        <v>180</v>
      </c>
      <c r="CZ50" s="171">
        <f t="shared" si="26"/>
        <v>360</v>
      </c>
      <c r="DB50" s="2">
        <f t="shared" si="34"/>
        <v>2</v>
      </c>
      <c r="DC50" s="61"/>
      <c r="DD50" s="143"/>
      <c r="DE50" s="149">
        <f t="shared" si="35"/>
        <v>2</v>
      </c>
    </row>
    <row r="51" spans="1:109" ht="15.75" customHeight="1">
      <c r="A51" s="33"/>
      <c r="B51" s="3" t="s">
        <v>101</v>
      </c>
      <c r="C51" s="104" t="s">
        <v>27</v>
      </c>
      <c r="D51" s="34"/>
      <c r="E51" s="34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1"/>
      <c r="AF51" s="143"/>
      <c r="AG51" s="13">
        <f t="shared" si="29"/>
        <v>0</v>
      </c>
      <c r="AH51" s="61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1"/>
      <c r="AO51" s="143"/>
      <c r="AP51" s="13">
        <f t="shared" si="7"/>
        <v>0</v>
      </c>
      <c r="AQ51" s="62"/>
      <c r="AR51" s="143"/>
      <c r="AS51" s="13">
        <f t="shared" si="8"/>
        <v>0</v>
      </c>
      <c r="AT51" s="61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1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1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1"/>
      <c r="CN51" s="143"/>
      <c r="CO51" s="13">
        <f t="shared" si="22"/>
        <v>0</v>
      </c>
      <c r="CP51" s="61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1"/>
      <c r="AF52" s="143"/>
      <c r="AG52" s="13">
        <f t="shared" si="29"/>
        <v>0</v>
      </c>
      <c r="AH52" s="61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1"/>
      <c r="AO52" s="143"/>
      <c r="AP52" s="13">
        <f t="shared" si="7"/>
        <v>0</v>
      </c>
      <c r="AQ52" s="62"/>
      <c r="AR52" s="143"/>
      <c r="AS52" s="13">
        <f t="shared" si="8"/>
        <v>0</v>
      </c>
      <c r="AT52" s="61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1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1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1"/>
      <c r="CN52" s="143"/>
      <c r="CO52" s="13">
        <f t="shared" si="22"/>
        <v>0</v>
      </c>
      <c r="CP52" s="61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10</v>
      </c>
      <c r="G53" s="62"/>
      <c r="H53" s="143"/>
      <c r="I53" s="13">
        <f t="shared" si="0"/>
        <v>10</v>
      </c>
      <c r="J53" s="62">
        <f>-7-2+27</f>
        <v>18</v>
      </c>
      <c r="K53" s="143">
        <v>10</v>
      </c>
      <c r="L53" s="13">
        <f t="shared" si="1"/>
        <v>18</v>
      </c>
      <c r="M53" s="62">
        <v>11</v>
      </c>
      <c r="N53" s="143">
        <v>6</v>
      </c>
      <c r="O53" s="13">
        <f t="shared" si="2"/>
        <v>23</v>
      </c>
      <c r="P53" s="62">
        <v>17</v>
      </c>
      <c r="Q53" s="143">
        <v>20</v>
      </c>
      <c r="R53" s="13">
        <f t="shared" si="3"/>
        <v>20</v>
      </c>
      <c r="S53" s="62"/>
      <c r="T53" s="143"/>
      <c r="U53" s="13">
        <f t="shared" si="4"/>
        <v>20</v>
      </c>
      <c r="V53" s="62">
        <v>13</v>
      </c>
      <c r="W53" s="143">
        <v>8</v>
      </c>
      <c r="X53" s="13">
        <f t="shared" si="5"/>
        <v>25</v>
      </c>
      <c r="Y53" s="62">
        <v>7</v>
      </c>
      <c r="Z53" s="143">
        <v>12</v>
      </c>
      <c r="AA53" s="13">
        <f t="shared" si="27"/>
        <v>20</v>
      </c>
      <c r="AB53" s="62"/>
      <c r="AC53" s="143"/>
      <c r="AD53" s="13">
        <f t="shared" si="28"/>
        <v>20</v>
      </c>
      <c r="AE53" s="61">
        <v>9</v>
      </c>
      <c r="AF53" s="143">
        <v>9</v>
      </c>
      <c r="AG53" s="13">
        <f t="shared" si="29"/>
        <v>20</v>
      </c>
      <c r="AH53" s="61">
        <v>25</v>
      </c>
      <c r="AI53" s="143">
        <v>11</v>
      </c>
      <c r="AJ53" s="13">
        <f t="shared" si="30"/>
        <v>34</v>
      </c>
      <c r="AK53" s="62">
        <v>26</v>
      </c>
      <c r="AL53" s="143">
        <f>20</f>
        <v>20</v>
      </c>
      <c r="AM53" s="13">
        <f t="shared" si="6"/>
        <v>40</v>
      </c>
      <c r="AN53" s="61"/>
      <c r="AO53" s="143"/>
      <c r="AP53" s="13">
        <f t="shared" si="7"/>
        <v>40</v>
      </c>
      <c r="AQ53" s="62"/>
      <c r="AR53" s="190">
        <v>11</v>
      </c>
      <c r="AS53" s="13">
        <f t="shared" si="8"/>
        <v>29</v>
      </c>
      <c r="AT53" s="61">
        <v>2</v>
      </c>
      <c r="AU53" s="143">
        <v>11</v>
      </c>
      <c r="AV53" s="13">
        <f t="shared" si="9"/>
        <v>20</v>
      </c>
      <c r="AW53" s="62"/>
      <c r="AX53" s="143"/>
      <c r="AY53" s="13">
        <f t="shared" si="10"/>
        <v>20</v>
      </c>
      <c r="AZ53" s="62">
        <v>17</v>
      </c>
      <c r="BA53" s="143">
        <v>12</v>
      </c>
      <c r="BB53" s="13">
        <f t="shared" si="11"/>
        <v>25</v>
      </c>
      <c r="BC53" s="62">
        <v>6</v>
      </c>
      <c r="BD53" s="143">
        <f>6</f>
        <v>6</v>
      </c>
      <c r="BE53" s="13">
        <f t="shared" si="12"/>
        <v>25</v>
      </c>
      <c r="BF53" s="62">
        <v>11</v>
      </c>
      <c r="BG53" s="143">
        <v>16</v>
      </c>
      <c r="BH53" s="13">
        <f t="shared" si="13"/>
        <v>20</v>
      </c>
      <c r="BI53" s="62"/>
      <c r="BJ53" s="143"/>
      <c r="BK53" s="13">
        <f t="shared" si="14"/>
        <v>20</v>
      </c>
      <c r="BL53" s="62">
        <v>16</v>
      </c>
      <c r="BM53" s="143">
        <v>11</v>
      </c>
      <c r="BN53" s="13">
        <f t="shared" si="15"/>
        <v>25</v>
      </c>
      <c r="BO53" s="62">
        <v>7</v>
      </c>
      <c r="BP53" s="143">
        <v>12</v>
      </c>
      <c r="BQ53" s="13">
        <f t="shared" si="16"/>
        <v>20</v>
      </c>
      <c r="BR53" s="62"/>
      <c r="BS53" s="143"/>
      <c r="BT53" s="13">
        <f t="shared" si="17"/>
        <v>20</v>
      </c>
      <c r="BU53" s="62">
        <v>9</v>
      </c>
      <c r="BV53" s="143">
        <v>9</v>
      </c>
      <c r="BW53" s="13">
        <f t="shared" si="18"/>
        <v>20</v>
      </c>
      <c r="BX53" s="62">
        <v>15</v>
      </c>
      <c r="BY53" s="143">
        <v>10</v>
      </c>
      <c r="BZ53" s="13">
        <f t="shared" si="19"/>
        <v>25</v>
      </c>
      <c r="CA53" s="61">
        <v>15</v>
      </c>
      <c r="CB53" s="143">
        <v>15</v>
      </c>
      <c r="CC53" s="13">
        <f t="shared" si="20"/>
        <v>25</v>
      </c>
      <c r="CD53" s="62"/>
      <c r="CE53" s="143"/>
      <c r="CF53" s="13">
        <f t="shared" si="21"/>
        <v>25</v>
      </c>
      <c r="CG53" s="61">
        <v>13</v>
      </c>
      <c r="CH53" s="143">
        <v>13</v>
      </c>
      <c r="CI53" s="13">
        <f>CF53+CG53-CH53</f>
        <v>25</v>
      </c>
      <c r="CJ53" s="62">
        <v>12</v>
      </c>
      <c r="CK53" s="143">
        <v>17</v>
      </c>
      <c r="CL53" s="13">
        <f>CI53+CJ53-CK53</f>
        <v>20</v>
      </c>
      <c r="CM53" s="61"/>
      <c r="CN53" s="143"/>
      <c r="CO53" s="13">
        <f t="shared" si="22"/>
        <v>20</v>
      </c>
      <c r="CP53" s="61">
        <v>8</v>
      </c>
      <c r="CQ53" s="143">
        <v>8</v>
      </c>
      <c r="CR53" s="13">
        <f t="shared" si="33"/>
        <v>20</v>
      </c>
      <c r="CS53" s="62">
        <v>4</v>
      </c>
      <c r="CT53" s="143">
        <v>9</v>
      </c>
      <c r="CU53" s="14">
        <f t="shared" si="23"/>
        <v>15</v>
      </c>
      <c r="CV53" s="5">
        <f t="shared" si="36"/>
        <v>261</v>
      </c>
      <c r="CW53" s="4">
        <f t="shared" si="36"/>
        <v>256</v>
      </c>
      <c r="CX53" s="6">
        <f t="shared" si="25"/>
        <v>15</v>
      </c>
      <c r="CY53" s="162">
        <v>120</v>
      </c>
      <c r="CZ53" s="171">
        <f t="shared" si="26"/>
        <v>1800</v>
      </c>
      <c r="DB53" s="2">
        <f t="shared" si="34"/>
        <v>15</v>
      </c>
      <c r="DC53" s="61"/>
      <c r="DD53" s="143"/>
      <c r="DE53" s="149">
        <f t="shared" si="35"/>
        <v>15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1"/>
      <c r="AF54" s="143"/>
      <c r="AG54" s="13">
        <f t="shared" si="29"/>
        <v>0</v>
      </c>
      <c r="AH54" s="61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1"/>
      <c r="AO54" s="143"/>
      <c r="AP54" s="13">
        <f t="shared" si="7"/>
        <v>0</v>
      </c>
      <c r="AQ54" s="62"/>
      <c r="AR54" s="143"/>
      <c r="AS54" s="13">
        <f t="shared" si="8"/>
        <v>0</v>
      </c>
      <c r="AT54" s="61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1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1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1"/>
      <c r="CN54" s="143"/>
      <c r="CO54" s="13">
        <f t="shared" si="22"/>
        <v>0</v>
      </c>
      <c r="CP54" s="61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8</v>
      </c>
      <c r="G55" s="62"/>
      <c r="H55" s="143"/>
      <c r="I55" s="13">
        <f t="shared" si="0"/>
        <v>8</v>
      </c>
      <c r="J55" s="62"/>
      <c r="K55" s="143"/>
      <c r="L55" s="13">
        <f t="shared" si="1"/>
        <v>8</v>
      </c>
      <c r="M55" s="62">
        <v>10</v>
      </c>
      <c r="N55" s="143"/>
      <c r="O55" s="13">
        <f t="shared" si="2"/>
        <v>18</v>
      </c>
      <c r="P55" s="62"/>
      <c r="Q55" s="143"/>
      <c r="R55" s="13">
        <f t="shared" si="3"/>
        <v>18</v>
      </c>
      <c r="S55" s="62"/>
      <c r="T55" s="143"/>
      <c r="U55" s="13">
        <f t="shared" si="4"/>
        <v>18</v>
      </c>
      <c r="V55" s="62"/>
      <c r="W55" s="143"/>
      <c r="X55" s="13">
        <f t="shared" si="5"/>
        <v>18</v>
      </c>
      <c r="Y55" s="62"/>
      <c r="Z55" s="143">
        <f>7+3+1</f>
        <v>11</v>
      </c>
      <c r="AA55" s="13">
        <f t="shared" si="27"/>
        <v>7</v>
      </c>
      <c r="AB55" s="62"/>
      <c r="AC55" s="143"/>
      <c r="AD55" s="13">
        <f t="shared" si="28"/>
        <v>7</v>
      </c>
      <c r="AE55" s="61"/>
      <c r="AF55" s="143"/>
      <c r="AG55" s="13">
        <f t="shared" si="29"/>
        <v>7</v>
      </c>
      <c r="AH55" s="61"/>
      <c r="AI55" s="143"/>
      <c r="AJ55" s="13">
        <f t="shared" si="30"/>
        <v>7</v>
      </c>
      <c r="AK55" s="62"/>
      <c r="AL55" s="143"/>
      <c r="AM55" s="13">
        <f t="shared" si="6"/>
        <v>7</v>
      </c>
      <c r="AN55" s="61"/>
      <c r="AO55" s="143"/>
      <c r="AP55" s="13">
        <f t="shared" si="7"/>
        <v>7</v>
      </c>
      <c r="AQ55" s="62"/>
      <c r="AR55" s="143"/>
      <c r="AS55" s="13">
        <f t="shared" si="8"/>
        <v>7</v>
      </c>
      <c r="AT55" s="61"/>
      <c r="AU55" s="143">
        <v>7</v>
      </c>
      <c r="AV55" s="13">
        <f t="shared" si="9"/>
        <v>0</v>
      </c>
      <c r="AW55" s="62"/>
      <c r="AX55" s="143"/>
      <c r="AY55" s="13">
        <f t="shared" si="10"/>
        <v>0</v>
      </c>
      <c r="AZ55" s="62">
        <v>10</v>
      </c>
      <c r="BA55" s="143"/>
      <c r="BB55" s="13">
        <f t="shared" si="11"/>
        <v>10</v>
      </c>
      <c r="BC55" s="62"/>
      <c r="BD55" s="143"/>
      <c r="BE55" s="13">
        <f t="shared" si="12"/>
        <v>10</v>
      </c>
      <c r="BF55" s="62"/>
      <c r="BG55" s="143"/>
      <c r="BH55" s="13">
        <f t="shared" si="13"/>
        <v>10</v>
      </c>
      <c r="BI55" s="62"/>
      <c r="BJ55" s="143"/>
      <c r="BK55" s="13">
        <f t="shared" si="14"/>
        <v>10</v>
      </c>
      <c r="BL55" s="62"/>
      <c r="BM55" s="143"/>
      <c r="BN55" s="13">
        <f t="shared" si="15"/>
        <v>10</v>
      </c>
      <c r="BO55" s="62"/>
      <c r="BP55" s="143"/>
      <c r="BQ55" s="13">
        <f t="shared" si="16"/>
        <v>10</v>
      </c>
      <c r="BR55" s="62"/>
      <c r="BS55" s="143"/>
      <c r="BT55" s="13">
        <f t="shared" si="17"/>
        <v>10</v>
      </c>
      <c r="BU55" s="62"/>
      <c r="BV55" s="143">
        <v>7</v>
      </c>
      <c r="BW55" s="13">
        <f t="shared" si="18"/>
        <v>3</v>
      </c>
      <c r="BX55" s="62"/>
      <c r="BY55" s="143"/>
      <c r="BZ55" s="13">
        <f t="shared" si="19"/>
        <v>3</v>
      </c>
      <c r="CA55" s="61"/>
      <c r="CB55" s="143"/>
      <c r="CC55" s="13">
        <f t="shared" si="20"/>
        <v>3</v>
      </c>
      <c r="CD55" s="62"/>
      <c r="CE55" s="143"/>
      <c r="CF55" s="13">
        <f t="shared" si="21"/>
        <v>3</v>
      </c>
      <c r="CG55" s="61"/>
      <c r="CH55" s="143"/>
      <c r="CI55" s="13">
        <f t="shared" si="31"/>
        <v>3</v>
      </c>
      <c r="CJ55" s="62">
        <v>10</v>
      </c>
      <c r="CK55" s="143"/>
      <c r="CL55" s="13">
        <f t="shared" si="32"/>
        <v>13</v>
      </c>
      <c r="CM55" s="61"/>
      <c r="CN55" s="143"/>
      <c r="CO55" s="13">
        <f t="shared" si="22"/>
        <v>13</v>
      </c>
      <c r="CP55" s="61"/>
      <c r="CQ55" s="143">
        <v>9</v>
      </c>
      <c r="CR55" s="13">
        <f t="shared" si="33"/>
        <v>4</v>
      </c>
      <c r="CS55" s="62"/>
      <c r="CT55" s="143"/>
      <c r="CU55" s="14">
        <f t="shared" si="23"/>
        <v>4</v>
      </c>
      <c r="CV55" s="5">
        <f t="shared" si="36"/>
        <v>30</v>
      </c>
      <c r="CW55" s="4">
        <f t="shared" si="36"/>
        <v>34</v>
      </c>
      <c r="CX55" s="6">
        <f t="shared" si="25"/>
        <v>4</v>
      </c>
      <c r="CY55" s="162">
        <v>105</v>
      </c>
      <c r="CZ55" s="171">
        <f t="shared" si="26"/>
        <v>420</v>
      </c>
      <c r="DB55" s="2">
        <f t="shared" si="34"/>
        <v>4</v>
      </c>
      <c r="DC55" s="61"/>
      <c r="DD55" s="143"/>
      <c r="DE55" s="149">
        <f t="shared" si="35"/>
        <v>4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1"/>
      <c r="AF56" s="143"/>
      <c r="AG56" s="13">
        <f t="shared" si="29"/>
        <v>0</v>
      </c>
      <c r="AH56" s="61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1"/>
      <c r="AO56" s="143"/>
      <c r="AP56" s="13">
        <f t="shared" si="7"/>
        <v>0</v>
      </c>
      <c r="AQ56" s="62"/>
      <c r="AR56" s="143"/>
      <c r="AS56" s="13">
        <f t="shared" si="8"/>
        <v>0</v>
      </c>
      <c r="AT56" s="61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>
        <v>1</v>
      </c>
      <c r="BP56" s="143"/>
      <c r="BQ56" s="13">
        <f t="shared" si="16"/>
        <v>1</v>
      </c>
      <c r="BR56" s="62"/>
      <c r="BS56" s="143"/>
      <c r="BT56" s="13">
        <f t="shared" si="17"/>
        <v>1</v>
      </c>
      <c r="BU56" s="62">
        <v>1</v>
      </c>
      <c r="BV56" s="143">
        <v>1</v>
      </c>
      <c r="BW56" s="13">
        <f t="shared" si="18"/>
        <v>1</v>
      </c>
      <c r="BX56" s="62"/>
      <c r="BY56" s="143"/>
      <c r="BZ56" s="13">
        <f t="shared" si="19"/>
        <v>1</v>
      </c>
      <c r="CA56" s="61"/>
      <c r="CB56" s="143"/>
      <c r="CC56" s="13">
        <f t="shared" si="20"/>
        <v>1</v>
      </c>
      <c r="CD56" s="62"/>
      <c r="CE56" s="143"/>
      <c r="CF56" s="13">
        <f t="shared" si="21"/>
        <v>1</v>
      </c>
      <c r="CG56" s="61"/>
      <c r="CH56" s="143">
        <v>1</v>
      </c>
      <c r="CI56" s="13">
        <f t="shared" si="31"/>
        <v>0</v>
      </c>
      <c r="CJ56" s="62"/>
      <c r="CK56" s="143"/>
      <c r="CL56" s="13">
        <f t="shared" si="32"/>
        <v>0</v>
      </c>
      <c r="CM56" s="61"/>
      <c r="CN56" s="143"/>
      <c r="CO56" s="13">
        <f t="shared" si="22"/>
        <v>0</v>
      </c>
      <c r="CP56" s="61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2</v>
      </c>
      <c r="CW56" s="4">
        <f t="shared" si="36"/>
        <v>2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1"/>
      <c r="AF57" s="143"/>
      <c r="AG57" s="13">
        <f t="shared" si="29"/>
        <v>0</v>
      </c>
      <c r="AH57" s="61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1"/>
      <c r="AO57" s="143"/>
      <c r="AP57" s="13">
        <f t="shared" si="7"/>
        <v>0</v>
      </c>
      <c r="AQ57" s="62"/>
      <c r="AR57" s="143"/>
      <c r="AS57" s="13">
        <f t="shared" si="8"/>
        <v>0</v>
      </c>
      <c r="AT57" s="61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9</v>
      </c>
      <c r="G58" s="62"/>
      <c r="H58" s="143">
        <f>2.2</f>
        <v>2.2000000000000002</v>
      </c>
      <c r="I58" s="13">
        <f t="shared" si="0"/>
        <v>6.8</v>
      </c>
      <c r="J58" s="62"/>
      <c r="K58" s="143">
        <f>1.4+1.1+1.7</f>
        <v>4.2</v>
      </c>
      <c r="L58" s="13">
        <f t="shared" si="1"/>
        <v>2.5999999999999996</v>
      </c>
      <c r="M58" s="62">
        <v>10</v>
      </c>
      <c r="N58" s="143"/>
      <c r="O58" s="13">
        <f t="shared" si="2"/>
        <v>12.6</v>
      </c>
      <c r="P58" s="62"/>
      <c r="Q58" s="143"/>
      <c r="R58" s="13">
        <f t="shared" si="3"/>
        <v>12.6</v>
      </c>
      <c r="S58" s="62"/>
      <c r="T58" s="143"/>
      <c r="U58" s="13">
        <f t="shared" si="4"/>
        <v>12.6</v>
      </c>
      <c r="V58" s="62"/>
      <c r="W58" s="143">
        <f>2.9+1.6</f>
        <v>4.5</v>
      </c>
      <c r="X58" s="13">
        <f t="shared" si="5"/>
        <v>8.1</v>
      </c>
      <c r="Y58" s="62">
        <v>10</v>
      </c>
      <c r="Z58" s="143"/>
      <c r="AA58" s="13">
        <f t="shared" si="27"/>
        <v>18.100000000000001</v>
      </c>
      <c r="AB58" s="62"/>
      <c r="AC58" s="143">
        <f>3.3</f>
        <v>3.3</v>
      </c>
      <c r="AD58" s="13">
        <f t="shared" si="28"/>
        <v>14.8</v>
      </c>
      <c r="AE58" s="61"/>
      <c r="AF58" s="143">
        <f>4.1+2.6+4</f>
        <v>10.7</v>
      </c>
      <c r="AG58" s="13">
        <f t="shared" si="29"/>
        <v>4.1000000000000014</v>
      </c>
      <c r="AH58" s="61">
        <v>10</v>
      </c>
      <c r="AI58" s="143"/>
      <c r="AJ58" s="13">
        <f t="shared" si="30"/>
        <v>14.100000000000001</v>
      </c>
      <c r="AK58" s="62"/>
      <c r="AL58" s="143"/>
      <c r="AM58" s="13">
        <f t="shared" si="6"/>
        <v>14.100000000000001</v>
      </c>
      <c r="AN58" s="61"/>
      <c r="AO58" s="143"/>
      <c r="AP58" s="13">
        <f t="shared" si="7"/>
        <v>14.100000000000001</v>
      </c>
      <c r="AQ58" s="62"/>
      <c r="AR58" s="143"/>
      <c r="AS58" s="13">
        <f t="shared" si="8"/>
        <v>14.100000000000001</v>
      </c>
      <c r="AT58" s="61">
        <v>10</v>
      </c>
      <c r="AU58" s="143">
        <f>2.5+0.9+3.2</f>
        <v>6.6</v>
      </c>
      <c r="AV58" s="13">
        <f t="shared" si="9"/>
        <v>17.5</v>
      </c>
      <c r="AW58" s="62"/>
      <c r="AX58" s="143">
        <f>2.2</f>
        <v>2.2000000000000002</v>
      </c>
      <c r="AY58" s="13">
        <f t="shared" si="10"/>
        <v>15.3</v>
      </c>
      <c r="AZ58" s="62"/>
      <c r="BA58" s="143">
        <f>1.6+1.3+1</f>
        <v>3.9000000000000004</v>
      </c>
      <c r="BB58" s="13">
        <f t="shared" si="11"/>
        <v>11.4</v>
      </c>
      <c r="BC58" s="62"/>
      <c r="BD58" s="143"/>
      <c r="BE58" s="13">
        <f t="shared" si="12"/>
        <v>11.4</v>
      </c>
      <c r="BF58" s="62"/>
      <c r="BG58" s="143">
        <f>3.2</f>
        <v>3.2</v>
      </c>
      <c r="BH58" s="13">
        <f t="shared" si="13"/>
        <v>8.1999999999999993</v>
      </c>
      <c r="BI58" s="62"/>
      <c r="BJ58" s="143"/>
      <c r="BK58" s="13">
        <f t="shared" si="14"/>
        <v>8.1999999999999993</v>
      </c>
      <c r="BL58" s="62"/>
      <c r="BM58" s="143"/>
      <c r="BN58" s="13">
        <f t="shared" si="15"/>
        <v>8.1999999999999993</v>
      </c>
      <c r="BO58" s="62">
        <v>10</v>
      </c>
      <c r="BP58" s="143">
        <f>2+1.2+1.3</f>
        <v>4.5</v>
      </c>
      <c r="BQ58" s="13">
        <f t="shared" si="16"/>
        <v>13.7</v>
      </c>
      <c r="BR58" s="62"/>
      <c r="BS58" s="143"/>
      <c r="BT58" s="13">
        <f t="shared" si="17"/>
        <v>13.7</v>
      </c>
      <c r="BU58" s="62"/>
      <c r="BV58" s="143">
        <f>2.6</f>
        <v>2.6</v>
      </c>
      <c r="BW58" s="13">
        <f t="shared" si="18"/>
        <v>11.1</v>
      </c>
      <c r="BX58" s="62"/>
      <c r="BY58" s="143"/>
      <c r="BZ58" s="13">
        <f t="shared" si="19"/>
        <v>11.1</v>
      </c>
      <c r="CA58" s="61">
        <v>10</v>
      </c>
      <c r="CB58" s="143">
        <f>1.6</f>
        <v>1.6</v>
      </c>
      <c r="CC58" s="13">
        <f t="shared" si="20"/>
        <v>19.5</v>
      </c>
      <c r="CD58" s="62"/>
      <c r="CE58" s="143"/>
      <c r="CF58" s="13">
        <f t="shared" si="21"/>
        <v>19.5</v>
      </c>
      <c r="CG58" s="61"/>
      <c r="CH58" s="143">
        <f>1.8</f>
        <v>1.8</v>
      </c>
      <c r="CI58" s="13">
        <f t="shared" si="31"/>
        <v>17.7</v>
      </c>
      <c r="CJ58" s="62"/>
      <c r="CK58" s="143">
        <v>0.8</v>
      </c>
      <c r="CL58" s="13">
        <f t="shared" si="32"/>
        <v>16.899999999999999</v>
      </c>
      <c r="CM58" s="61"/>
      <c r="CN58" s="143">
        <f>1.6</f>
        <v>1.6</v>
      </c>
      <c r="CO58" s="13">
        <f t="shared" si="22"/>
        <v>15.299999999999999</v>
      </c>
      <c r="CP58" s="61"/>
      <c r="CQ58" s="143">
        <f>1.5</f>
        <v>1.5</v>
      </c>
      <c r="CR58" s="13">
        <f t="shared" si="33"/>
        <v>13.799999999999999</v>
      </c>
      <c r="CS58" s="62"/>
      <c r="CT58" s="143"/>
      <c r="CU58" s="14">
        <f t="shared" si="23"/>
        <v>13.799999999999999</v>
      </c>
      <c r="CV58" s="5">
        <f t="shared" si="36"/>
        <v>60</v>
      </c>
      <c r="CW58" s="4">
        <f t="shared" si="36"/>
        <v>55.2</v>
      </c>
      <c r="CX58" s="6">
        <f t="shared" si="25"/>
        <v>13.799999999999999</v>
      </c>
      <c r="CY58" s="162">
        <v>460</v>
      </c>
      <c r="CZ58" s="171">
        <f t="shared" si="26"/>
        <v>6347.9999999999991</v>
      </c>
      <c r="DB58" s="2">
        <f t="shared" si="34"/>
        <v>13.799999999999999</v>
      </c>
      <c r="DC58" s="61"/>
      <c r="DD58" s="143"/>
      <c r="DE58" s="149">
        <f t="shared" si="35"/>
        <v>13.799999999999999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11</v>
      </c>
      <c r="G59" s="62">
        <v>30</v>
      </c>
      <c r="H59" s="143"/>
      <c r="I59" s="13">
        <f t="shared" si="0"/>
        <v>41</v>
      </c>
      <c r="J59" s="62">
        <v>30</v>
      </c>
      <c r="K59" s="143">
        <f>8+3+14</f>
        <v>25</v>
      </c>
      <c r="L59" s="13">
        <f t="shared" si="1"/>
        <v>46</v>
      </c>
      <c r="M59" s="62">
        <v>50</v>
      </c>
      <c r="N59" s="143">
        <f>2+7+20</f>
        <v>29</v>
      </c>
      <c r="O59" s="13">
        <f t="shared" si="2"/>
        <v>67</v>
      </c>
      <c r="P59" s="62">
        <v>30</v>
      </c>
      <c r="Q59" s="143">
        <f>3+10+44</f>
        <v>57</v>
      </c>
      <c r="R59" s="30">
        <f t="shared" si="3"/>
        <v>40</v>
      </c>
      <c r="S59" s="62"/>
      <c r="T59" s="143"/>
      <c r="U59" s="13">
        <f t="shared" si="4"/>
        <v>40</v>
      </c>
      <c r="V59" s="62">
        <v>40</v>
      </c>
      <c r="W59" s="143">
        <f>2+4+17</f>
        <v>23</v>
      </c>
      <c r="X59" s="13">
        <f t="shared" si="5"/>
        <v>57</v>
      </c>
      <c r="Y59" s="62">
        <v>30</v>
      </c>
      <c r="Z59" s="143">
        <f>3+17+25</f>
        <v>45</v>
      </c>
      <c r="AA59" s="13">
        <f t="shared" si="27"/>
        <v>42</v>
      </c>
      <c r="AB59" s="62"/>
      <c r="AC59" s="143"/>
      <c r="AD59" s="13">
        <f t="shared" si="28"/>
        <v>42</v>
      </c>
      <c r="AE59" s="61">
        <v>30</v>
      </c>
      <c r="AF59" s="143">
        <f>3+7+17</f>
        <v>27</v>
      </c>
      <c r="AG59" s="13">
        <f t="shared" si="29"/>
        <v>45</v>
      </c>
      <c r="AH59" s="61">
        <v>40</v>
      </c>
      <c r="AI59" s="143">
        <f>2+7+21</f>
        <v>30</v>
      </c>
      <c r="AJ59" s="13">
        <f t="shared" si="30"/>
        <v>55</v>
      </c>
      <c r="AK59" s="62">
        <f>-2+40</f>
        <v>38</v>
      </c>
      <c r="AL59" s="143">
        <f>3+14+38</f>
        <v>55</v>
      </c>
      <c r="AM59" s="13">
        <f t="shared" si="6"/>
        <v>38</v>
      </c>
      <c r="AN59" s="61"/>
      <c r="AO59" s="143"/>
      <c r="AP59" s="13">
        <f t="shared" si="7"/>
        <v>38</v>
      </c>
      <c r="AQ59" s="62">
        <v>50</v>
      </c>
      <c r="AR59" s="190">
        <f>2+7+27</f>
        <v>36</v>
      </c>
      <c r="AS59" s="13">
        <f t="shared" si="8"/>
        <v>52</v>
      </c>
      <c r="AT59" s="61">
        <v>30</v>
      </c>
      <c r="AU59" s="143">
        <f>4+9+28</f>
        <v>41</v>
      </c>
      <c r="AV59" s="13">
        <f t="shared" si="9"/>
        <v>41</v>
      </c>
      <c r="AW59" s="62"/>
      <c r="AX59" s="143"/>
      <c r="AY59" s="13">
        <f t="shared" si="10"/>
        <v>41</v>
      </c>
      <c r="AZ59" s="62">
        <v>30</v>
      </c>
      <c r="BA59" s="143">
        <f>2+5+16</f>
        <v>23</v>
      </c>
      <c r="BB59" s="13">
        <f t="shared" si="11"/>
        <v>48</v>
      </c>
      <c r="BC59" s="62">
        <v>40</v>
      </c>
      <c r="BD59" s="143">
        <f>2+9+21</f>
        <v>32</v>
      </c>
      <c r="BE59" s="13">
        <f t="shared" si="12"/>
        <v>56</v>
      </c>
      <c r="BF59" s="62">
        <v>40</v>
      </c>
      <c r="BG59" s="143">
        <f>3+10+32</f>
        <v>45</v>
      </c>
      <c r="BH59" s="13">
        <f t="shared" si="13"/>
        <v>51</v>
      </c>
      <c r="BI59" s="62"/>
      <c r="BJ59" s="143"/>
      <c r="BK59" s="13">
        <f t="shared" si="14"/>
        <v>51</v>
      </c>
      <c r="BL59" s="62">
        <v>40</v>
      </c>
      <c r="BM59" s="143">
        <f>3+8+19</f>
        <v>30</v>
      </c>
      <c r="BN59" s="13">
        <f t="shared" si="15"/>
        <v>61</v>
      </c>
      <c r="BO59" s="62">
        <v>30</v>
      </c>
      <c r="BP59" s="143">
        <f>4+10+31</f>
        <v>45</v>
      </c>
      <c r="BQ59" s="13">
        <f t="shared" si="16"/>
        <v>46</v>
      </c>
      <c r="BR59" s="62"/>
      <c r="BS59" s="143"/>
      <c r="BT59" s="13">
        <f t="shared" si="17"/>
        <v>46</v>
      </c>
      <c r="BU59" s="62">
        <v>40</v>
      </c>
      <c r="BV59" s="143">
        <f>7+2+14</f>
        <v>23</v>
      </c>
      <c r="BW59" s="13">
        <f t="shared" si="18"/>
        <v>63</v>
      </c>
      <c r="BX59" s="62">
        <v>40</v>
      </c>
      <c r="BY59" s="143">
        <f>1+6+22</f>
        <v>29</v>
      </c>
      <c r="BZ59" s="13">
        <f t="shared" si="19"/>
        <v>74</v>
      </c>
      <c r="CA59" s="61">
        <v>30</v>
      </c>
      <c r="CB59" s="143">
        <f>1+11+44</f>
        <v>56</v>
      </c>
      <c r="CC59" s="13">
        <f t="shared" si="20"/>
        <v>48</v>
      </c>
      <c r="CD59" s="62"/>
      <c r="CE59" s="143"/>
      <c r="CF59" s="13">
        <f t="shared" si="21"/>
        <v>48</v>
      </c>
      <c r="CG59" s="62">
        <v>40</v>
      </c>
      <c r="CH59" s="143">
        <f>2+1+1+1+1+6+19</f>
        <v>31</v>
      </c>
      <c r="CI59" s="13">
        <f t="shared" si="31"/>
        <v>57</v>
      </c>
      <c r="CJ59" s="62">
        <v>30</v>
      </c>
      <c r="CK59" s="143">
        <f>4+12+26</f>
        <v>42</v>
      </c>
      <c r="CL59" s="13">
        <f t="shared" si="32"/>
        <v>45</v>
      </c>
      <c r="CM59" s="62"/>
      <c r="CN59" s="143"/>
      <c r="CO59" s="13">
        <f t="shared" si="22"/>
        <v>45</v>
      </c>
      <c r="CP59" s="61">
        <v>30</v>
      </c>
      <c r="CQ59" s="143">
        <f>7+3+17</f>
        <v>27</v>
      </c>
      <c r="CR59" s="13">
        <f t="shared" si="33"/>
        <v>48</v>
      </c>
      <c r="CS59" s="62">
        <v>20</v>
      </c>
      <c r="CT59" s="143">
        <f>2+8+22</f>
        <v>32</v>
      </c>
      <c r="CU59" s="14">
        <f t="shared" si="23"/>
        <v>36</v>
      </c>
      <c r="CV59" s="5">
        <f t="shared" si="36"/>
        <v>808</v>
      </c>
      <c r="CW59" s="4">
        <f t="shared" si="36"/>
        <v>783</v>
      </c>
      <c r="CX59" s="6">
        <f t="shared" si="25"/>
        <v>36</v>
      </c>
      <c r="CY59" s="162">
        <v>214</v>
      </c>
      <c r="CZ59" s="171">
        <f t="shared" si="26"/>
        <v>7704</v>
      </c>
      <c r="DB59" s="2">
        <f t="shared" si="34"/>
        <v>36</v>
      </c>
      <c r="DC59" s="61"/>
      <c r="DD59" s="143"/>
      <c r="DE59" s="149">
        <f t="shared" si="35"/>
        <v>36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0</v>
      </c>
      <c r="G60" s="62">
        <f>-5-4-6+72-3-6-5-2-5-7</f>
        <v>29</v>
      </c>
      <c r="H60" s="143"/>
      <c r="I60" s="13">
        <f t="shared" si="0"/>
        <v>29</v>
      </c>
      <c r="J60" s="62">
        <v>24</v>
      </c>
      <c r="K60" s="143">
        <f>28</f>
        <v>28</v>
      </c>
      <c r="L60" s="13">
        <f t="shared" si="1"/>
        <v>25</v>
      </c>
      <c r="M60" s="62">
        <v>48</v>
      </c>
      <c r="N60" s="143">
        <f>8</f>
        <v>8</v>
      </c>
      <c r="O60" s="13">
        <f t="shared" si="2"/>
        <v>65</v>
      </c>
      <c r="P60" s="62">
        <v>24</v>
      </c>
      <c r="Q60" s="143">
        <v>42</v>
      </c>
      <c r="R60" s="30">
        <f t="shared" si="3"/>
        <v>47</v>
      </c>
      <c r="S60" s="62"/>
      <c r="T60" s="143"/>
      <c r="U60" s="13">
        <f t="shared" si="4"/>
        <v>47</v>
      </c>
      <c r="V60" s="62">
        <v>48</v>
      </c>
      <c r="W60" s="143">
        <f>4+6+3+5+3+17</f>
        <v>38</v>
      </c>
      <c r="X60" s="13">
        <f t="shared" si="5"/>
        <v>57</v>
      </c>
      <c r="Y60" s="62">
        <f>-12+24</f>
        <v>12</v>
      </c>
      <c r="Z60" s="143">
        <f>4+6+5+6+36</f>
        <v>57</v>
      </c>
      <c r="AA60" s="13">
        <f t="shared" si="27"/>
        <v>12</v>
      </c>
      <c r="AB60" s="62">
        <v>24</v>
      </c>
      <c r="AC60" s="143">
        <v>4</v>
      </c>
      <c r="AD60" s="13">
        <f t="shared" si="28"/>
        <v>32</v>
      </c>
      <c r="AE60" s="61">
        <f>-2+-6-6-5-5+24+6+5+5</f>
        <v>16</v>
      </c>
      <c r="AF60" s="143">
        <f>16+6+5+5</f>
        <v>32</v>
      </c>
      <c r="AG60" s="13">
        <f t="shared" si="29"/>
        <v>16</v>
      </c>
      <c r="AH60" s="61">
        <f>-6-2-1-1+48</f>
        <v>38</v>
      </c>
      <c r="AI60" s="143">
        <f>1+12</f>
        <v>13</v>
      </c>
      <c r="AJ60" s="13">
        <f t="shared" si="30"/>
        <v>41</v>
      </c>
      <c r="AK60" s="62">
        <f>-5+24</f>
        <v>19</v>
      </c>
      <c r="AL60" s="143">
        <v>41</v>
      </c>
      <c r="AM60" s="13">
        <f t="shared" si="6"/>
        <v>19</v>
      </c>
      <c r="AN60" s="61"/>
      <c r="AO60" s="143"/>
      <c r="AP60" s="13">
        <f t="shared" si="7"/>
        <v>19</v>
      </c>
      <c r="AQ60" s="62">
        <f>-9+48</f>
        <v>39</v>
      </c>
      <c r="AR60" s="143">
        <v>19</v>
      </c>
      <c r="AS60" s="13">
        <f t="shared" si="8"/>
        <v>39</v>
      </c>
      <c r="AT60" s="61">
        <f>-11+48</f>
        <v>37</v>
      </c>
      <c r="AU60" s="143">
        <f>12+27+2</f>
        <v>41</v>
      </c>
      <c r="AV60" s="13">
        <f t="shared" si="9"/>
        <v>35</v>
      </c>
      <c r="AW60" s="62"/>
      <c r="AX60" s="143">
        <f>2+4+1+2+3</f>
        <v>12</v>
      </c>
      <c r="AY60" s="13">
        <f t="shared" si="10"/>
        <v>23</v>
      </c>
      <c r="AZ60" s="62">
        <f>-2-2-4-7-5+48</f>
        <v>28</v>
      </c>
      <c r="BA60" s="143">
        <f>23</f>
        <v>23</v>
      </c>
      <c r="BB60" s="13">
        <f t="shared" si="11"/>
        <v>28</v>
      </c>
      <c r="BC60" s="62">
        <v>48</v>
      </c>
      <c r="BD60" s="143">
        <f>1+1+1+16</f>
        <v>19</v>
      </c>
      <c r="BE60" s="13">
        <f t="shared" si="12"/>
        <v>57</v>
      </c>
      <c r="BF60" s="62">
        <v>24</v>
      </c>
      <c r="BG60" s="143">
        <v>36</v>
      </c>
      <c r="BH60" s="13">
        <f t="shared" si="13"/>
        <v>45</v>
      </c>
      <c r="BI60" s="62"/>
      <c r="BJ60" s="143"/>
      <c r="BK60" s="13">
        <f t="shared" si="14"/>
        <v>45</v>
      </c>
      <c r="BL60" s="62">
        <v>48</v>
      </c>
      <c r="BM60" s="143">
        <f>6+7+12</f>
        <v>25</v>
      </c>
      <c r="BN60" s="13">
        <f t="shared" si="15"/>
        <v>68</v>
      </c>
      <c r="BO60" s="62">
        <v>24</v>
      </c>
      <c r="BP60" s="143">
        <f>4+4+4+6+4+4+5+24</f>
        <v>55</v>
      </c>
      <c r="BQ60" s="13">
        <f t="shared" si="16"/>
        <v>37</v>
      </c>
      <c r="BR60" s="62"/>
      <c r="BS60" s="143">
        <f>7+4</f>
        <v>11</v>
      </c>
      <c r="BT60" s="13">
        <f t="shared" si="17"/>
        <v>26</v>
      </c>
      <c r="BU60" s="62">
        <f>-3+24</f>
        <v>21</v>
      </c>
      <c r="BV60" s="143">
        <f>2+6+16</f>
        <v>24</v>
      </c>
      <c r="BW60" s="13">
        <f t="shared" si="18"/>
        <v>23</v>
      </c>
      <c r="BX60" s="64">
        <f>-7-1+48</f>
        <v>40</v>
      </c>
      <c r="BY60" s="143">
        <f>5+1+2+1+1+13</f>
        <v>23</v>
      </c>
      <c r="BZ60" s="13">
        <f t="shared" si="19"/>
        <v>40</v>
      </c>
      <c r="CA60" s="61">
        <v>24</v>
      </c>
      <c r="CB60" s="143">
        <f>30</f>
        <v>30</v>
      </c>
      <c r="CC60" s="13">
        <f t="shared" si="20"/>
        <v>34</v>
      </c>
      <c r="CD60" s="62"/>
      <c r="CE60" s="143"/>
      <c r="CF60" s="13">
        <f t="shared" si="21"/>
        <v>34</v>
      </c>
      <c r="CG60" s="62">
        <f>-2+48</f>
        <v>46</v>
      </c>
      <c r="CH60" s="143">
        <f>1+7+4+20+2</f>
        <v>34</v>
      </c>
      <c r="CI60" s="13">
        <f t="shared" si="31"/>
        <v>46</v>
      </c>
      <c r="CJ60" s="62">
        <f>-8+24+10</f>
        <v>26</v>
      </c>
      <c r="CK60" s="143">
        <f>6+4+3+4+5+24</f>
        <v>46</v>
      </c>
      <c r="CL60" s="13">
        <f t="shared" si="32"/>
        <v>26</v>
      </c>
      <c r="CM60" s="62"/>
      <c r="CN60" s="143">
        <f>5+4</f>
        <v>9</v>
      </c>
      <c r="CO60" s="13">
        <f t="shared" si="22"/>
        <v>17</v>
      </c>
      <c r="CP60" s="61">
        <f>-4-7+24</f>
        <v>13</v>
      </c>
      <c r="CQ60" s="143">
        <f>16</f>
        <v>16</v>
      </c>
      <c r="CR60" s="13">
        <f t="shared" si="33"/>
        <v>14</v>
      </c>
      <c r="CS60" s="62">
        <f>-1-2-1-12+24</f>
        <v>8</v>
      </c>
      <c r="CT60" s="143">
        <f>2+4+8</f>
        <v>14</v>
      </c>
      <c r="CU60" s="14">
        <f t="shared" si="23"/>
        <v>8</v>
      </c>
      <c r="CV60" s="5">
        <f t="shared" si="36"/>
        <v>708</v>
      </c>
      <c r="CW60" s="4">
        <f t="shared" si="36"/>
        <v>700</v>
      </c>
      <c r="CX60" s="6">
        <f t="shared" si="25"/>
        <v>8</v>
      </c>
      <c r="CY60" s="162">
        <v>28</v>
      </c>
      <c r="CZ60" s="171">
        <f t="shared" si="26"/>
        <v>224</v>
      </c>
      <c r="DB60" s="2">
        <f t="shared" si="34"/>
        <v>8</v>
      </c>
      <c r="DC60" s="61"/>
      <c r="DD60" s="143"/>
      <c r="DE60" s="149">
        <f t="shared" si="35"/>
        <v>8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1"/>
      <c r="AF61" s="143"/>
      <c r="AG61" s="13">
        <f t="shared" si="29"/>
        <v>0</v>
      </c>
      <c r="AH61" s="61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1"/>
      <c r="AO61" s="143"/>
      <c r="AP61" s="13">
        <f t="shared" si="7"/>
        <v>0</v>
      </c>
      <c r="AQ61" s="62"/>
      <c r="AR61" s="143"/>
      <c r="AS61" s="13">
        <f t="shared" si="8"/>
        <v>0</v>
      </c>
      <c r="AT61" s="61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1"/>
      <c r="AF62" s="143"/>
      <c r="AG62" s="13">
        <f t="shared" si="29"/>
        <v>0</v>
      </c>
      <c r="AH62" s="61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1"/>
      <c r="AO62" s="143"/>
      <c r="AP62" s="13">
        <f t="shared" si="7"/>
        <v>0</v>
      </c>
      <c r="AQ62" s="62"/>
      <c r="AR62" s="143"/>
      <c r="AS62" s="13">
        <f t="shared" si="8"/>
        <v>0</v>
      </c>
      <c r="AT62" s="61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1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1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1"/>
      <c r="CN62" s="143"/>
      <c r="CO62" s="13">
        <f t="shared" si="22"/>
        <v>0</v>
      </c>
      <c r="CP62" s="61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 t="s">
        <v>316</v>
      </c>
      <c r="E63" s="52" t="s">
        <v>26</v>
      </c>
      <c r="F63" s="14">
        <v>251</v>
      </c>
      <c r="G63" s="62"/>
      <c r="H63" s="143"/>
      <c r="I63" s="13">
        <f t="shared" si="0"/>
        <v>251</v>
      </c>
      <c r="J63" s="62">
        <v>280</v>
      </c>
      <c r="K63" s="143">
        <f>12+110</f>
        <v>122</v>
      </c>
      <c r="L63" s="13">
        <f t="shared" si="1"/>
        <v>409</v>
      </c>
      <c r="M63" s="62">
        <v>280</v>
      </c>
      <c r="N63" s="143">
        <f>3+300</f>
        <v>303</v>
      </c>
      <c r="O63" s="13">
        <f t="shared" si="2"/>
        <v>386</v>
      </c>
      <c r="P63" s="62">
        <v>280</v>
      </c>
      <c r="Q63" s="143">
        <f>10+19+150</f>
        <v>179</v>
      </c>
      <c r="R63" s="30">
        <f t="shared" si="3"/>
        <v>487</v>
      </c>
      <c r="S63" s="62"/>
      <c r="T63" s="143"/>
      <c r="U63" s="13">
        <f t="shared" si="4"/>
        <v>487</v>
      </c>
      <c r="V63" s="62">
        <v>280</v>
      </c>
      <c r="W63" s="143">
        <f>9+160</f>
        <v>169</v>
      </c>
      <c r="X63" s="13">
        <f t="shared" si="5"/>
        <v>598</v>
      </c>
      <c r="Y63" s="62"/>
      <c r="Z63" s="143">
        <f>15+21+160</f>
        <v>196</v>
      </c>
      <c r="AA63" s="13">
        <f t="shared" si="27"/>
        <v>402</v>
      </c>
      <c r="AB63" s="62"/>
      <c r="AC63" s="143"/>
      <c r="AD63" s="13">
        <f t="shared" si="28"/>
        <v>402</v>
      </c>
      <c r="AE63" s="61">
        <f>140+140</f>
        <v>280</v>
      </c>
      <c r="AF63" s="143">
        <f>6+220+40</f>
        <v>266</v>
      </c>
      <c r="AG63" s="13">
        <f t="shared" si="29"/>
        <v>416</v>
      </c>
      <c r="AH63" s="202">
        <v>280</v>
      </c>
      <c r="AI63" s="143">
        <f>15+8+200</f>
        <v>223</v>
      </c>
      <c r="AJ63" s="13">
        <f t="shared" si="30"/>
        <v>473</v>
      </c>
      <c r="AK63" s="62">
        <v>280</v>
      </c>
      <c r="AL63" s="143">
        <f>15+9+140</f>
        <v>164</v>
      </c>
      <c r="AM63" s="13">
        <f t="shared" si="6"/>
        <v>589</v>
      </c>
      <c r="AN63" s="202"/>
      <c r="AO63" s="143"/>
      <c r="AP63" s="13">
        <f t="shared" si="7"/>
        <v>589</v>
      </c>
      <c r="AQ63" s="62"/>
      <c r="AR63" s="143">
        <f>20+6+230</f>
        <v>256</v>
      </c>
      <c r="AS63" s="13">
        <f t="shared" si="8"/>
        <v>333</v>
      </c>
      <c r="AT63" s="202">
        <v>280</v>
      </c>
      <c r="AU63" s="143">
        <f>15+10+120</f>
        <v>145</v>
      </c>
      <c r="AV63" s="13">
        <f t="shared" si="9"/>
        <v>468</v>
      </c>
      <c r="AW63" s="62"/>
      <c r="AX63" s="143"/>
      <c r="AY63" s="13">
        <f t="shared" si="10"/>
        <v>468</v>
      </c>
      <c r="AZ63" s="62"/>
      <c r="BA63" s="143">
        <f>20+7+120</f>
        <v>147</v>
      </c>
      <c r="BB63" s="13">
        <f t="shared" si="11"/>
        <v>321</v>
      </c>
      <c r="BC63" s="62">
        <v>280</v>
      </c>
      <c r="BD63" s="143">
        <f>20+6+130+15</f>
        <v>171</v>
      </c>
      <c r="BE63" s="13">
        <f t="shared" si="12"/>
        <v>430</v>
      </c>
      <c r="BF63" s="62"/>
      <c r="BG63" s="143">
        <f>20+2+150</f>
        <v>172</v>
      </c>
      <c r="BH63" s="13">
        <f t="shared" si="13"/>
        <v>258</v>
      </c>
      <c r="BI63" s="62"/>
      <c r="BJ63" s="143"/>
      <c r="BK63" s="13">
        <f t="shared" si="14"/>
        <v>258</v>
      </c>
      <c r="BL63" s="62">
        <v>280</v>
      </c>
      <c r="BM63" s="143">
        <f>15+2+160</f>
        <v>177</v>
      </c>
      <c r="BN63" s="13">
        <f t="shared" si="15"/>
        <v>361</v>
      </c>
      <c r="BO63" s="62">
        <v>280</v>
      </c>
      <c r="BP63" s="143">
        <f>10+4+120</f>
        <v>134</v>
      </c>
      <c r="BQ63" s="13">
        <f t="shared" si="16"/>
        <v>507</v>
      </c>
      <c r="BR63" s="62"/>
      <c r="BS63" s="143"/>
      <c r="BT63" s="13">
        <f t="shared" si="17"/>
        <v>507</v>
      </c>
      <c r="BU63" s="62">
        <v>140</v>
      </c>
      <c r="BV63" s="143">
        <f>6+10+230</f>
        <v>246</v>
      </c>
      <c r="BW63" s="13">
        <f t="shared" si="18"/>
        <v>401</v>
      </c>
      <c r="BX63" s="62">
        <v>280</v>
      </c>
      <c r="BY63" s="143">
        <f>4+90</f>
        <v>94</v>
      </c>
      <c r="BZ63" s="13">
        <f t="shared" si="19"/>
        <v>587</v>
      </c>
      <c r="CA63" s="61"/>
      <c r="CB63" s="143">
        <f>15+7+100</f>
        <v>122</v>
      </c>
      <c r="CC63" s="13">
        <f t="shared" si="20"/>
        <v>465</v>
      </c>
      <c r="CD63" s="62"/>
      <c r="CE63" s="143"/>
      <c r="CF63" s="13">
        <f t="shared" si="21"/>
        <v>465</v>
      </c>
      <c r="CG63" s="61">
        <v>140</v>
      </c>
      <c r="CH63" s="143">
        <f>10+1+155</f>
        <v>166</v>
      </c>
      <c r="CI63" s="13">
        <f t="shared" si="31"/>
        <v>439</v>
      </c>
      <c r="CJ63" s="62"/>
      <c r="CK63" s="143">
        <f>20+6+100</f>
        <v>126</v>
      </c>
      <c r="CL63" s="13">
        <f t="shared" si="32"/>
        <v>313</v>
      </c>
      <c r="CM63" s="61"/>
      <c r="CN63" s="143"/>
      <c r="CO63" s="13">
        <f t="shared" si="22"/>
        <v>313</v>
      </c>
      <c r="CP63" s="61">
        <v>280</v>
      </c>
      <c r="CQ63" s="143">
        <f>5+140</f>
        <v>145</v>
      </c>
      <c r="CR63" s="13">
        <f t="shared" si="33"/>
        <v>448</v>
      </c>
      <c r="CS63" s="62"/>
      <c r="CT63" s="143">
        <f>10+11+80+40</f>
        <v>141</v>
      </c>
      <c r="CU63" s="14">
        <f t="shared" si="23"/>
        <v>307</v>
      </c>
      <c r="CV63" s="5">
        <f t="shared" si="36"/>
        <v>3920</v>
      </c>
      <c r="CW63" s="4">
        <f t="shared" si="36"/>
        <v>3864</v>
      </c>
      <c r="CX63" s="6">
        <f t="shared" si="25"/>
        <v>307</v>
      </c>
      <c r="CY63" s="162">
        <v>43</v>
      </c>
      <c r="CZ63" s="171">
        <f t="shared" si="26"/>
        <v>13201</v>
      </c>
      <c r="DB63" s="2">
        <f t="shared" si="34"/>
        <v>307</v>
      </c>
      <c r="DC63" s="61"/>
      <c r="DD63" s="143"/>
      <c r="DE63" s="149">
        <f t="shared" si="35"/>
        <v>307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1"/>
      <c r="AF64" s="143"/>
      <c r="AG64" s="13">
        <f t="shared" si="29"/>
        <v>0</v>
      </c>
      <c r="AH64" s="61"/>
      <c r="AI64" s="143"/>
      <c r="AJ64" s="13">
        <f t="shared" si="30"/>
        <v>0</v>
      </c>
      <c r="AK64" s="62"/>
      <c r="AL64" s="143"/>
      <c r="AM64" s="13">
        <f t="shared" si="6"/>
        <v>0</v>
      </c>
      <c r="AN64" s="61"/>
      <c r="AO64" s="143"/>
      <c r="AP64" s="13">
        <f t="shared" si="7"/>
        <v>0</v>
      </c>
      <c r="AQ64" s="62"/>
      <c r="AR64" s="143"/>
      <c r="AS64" s="13">
        <f t="shared" si="8"/>
        <v>0</v>
      </c>
      <c r="AT64" s="61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90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1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1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1"/>
      <c r="AF65" s="143"/>
      <c r="AG65" s="13">
        <f t="shared" si="29"/>
        <v>0</v>
      </c>
      <c r="AH65" s="61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1"/>
      <c r="AO65" s="143"/>
      <c r="AP65" s="13">
        <f t="shared" si="7"/>
        <v>0</v>
      </c>
      <c r="AQ65" s="62"/>
      <c r="AR65" s="143"/>
      <c r="AS65" s="13">
        <f t="shared" si="8"/>
        <v>0</v>
      </c>
      <c r="AT65" s="61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1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1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1"/>
      <c r="AF66" s="143"/>
      <c r="AG66" s="13">
        <f t="shared" si="29"/>
        <v>0</v>
      </c>
      <c r="AH66" s="61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1"/>
      <c r="AO66" s="143"/>
      <c r="AP66" s="13">
        <f t="shared" si="7"/>
        <v>0</v>
      </c>
      <c r="AQ66" s="62"/>
      <c r="AR66" s="143"/>
      <c r="AS66" s="13">
        <f t="shared" si="8"/>
        <v>0</v>
      </c>
      <c r="AT66" s="61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1"/>
      <c r="AF67" s="143"/>
      <c r="AG67" s="13">
        <f t="shared" si="29"/>
        <v>0</v>
      </c>
      <c r="AH67" s="61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1"/>
      <c r="AO67" s="143"/>
      <c r="AP67" s="13">
        <f t="shared" si="7"/>
        <v>0</v>
      </c>
      <c r="AQ67" s="62"/>
      <c r="AR67" s="143"/>
      <c r="AS67" s="13">
        <f t="shared" si="8"/>
        <v>0</v>
      </c>
      <c r="AT67" s="61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321</v>
      </c>
      <c r="C68" s="104" t="s">
        <v>21</v>
      </c>
      <c r="D68" s="34"/>
      <c r="E68" s="34"/>
      <c r="F68" s="14">
        <v>32</v>
      </c>
      <c r="G68" s="62"/>
      <c r="H68" s="143">
        <v>18</v>
      </c>
      <c r="I68" s="13">
        <f>F68+G68-H68</f>
        <v>14</v>
      </c>
      <c r="J68" s="62"/>
      <c r="K68" s="143"/>
      <c r="L68" s="13">
        <f>I68+J68-K68</f>
        <v>14</v>
      </c>
      <c r="M68" s="62"/>
      <c r="N68" s="143"/>
      <c r="O68" s="13">
        <f>L68+M68-N68</f>
        <v>14</v>
      </c>
      <c r="P68" s="62"/>
      <c r="Q68" s="143"/>
      <c r="R68" s="13">
        <f>O68+P68-Q68</f>
        <v>14</v>
      </c>
      <c r="S68" s="62"/>
      <c r="T68" s="143"/>
      <c r="U68" s="13">
        <f t="shared" si="4"/>
        <v>14</v>
      </c>
      <c r="V68" s="62"/>
      <c r="W68" s="143">
        <v>7</v>
      </c>
      <c r="X68" s="13">
        <f t="shared" si="5"/>
        <v>7</v>
      </c>
      <c r="Y68" s="62"/>
      <c r="Z68" s="143"/>
      <c r="AA68" s="13">
        <f t="shared" si="27"/>
        <v>7</v>
      </c>
      <c r="AB68" s="62"/>
      <c r="AC68" s="143"/>
      <c r="AD68" s="13">
        <f t="shared" si="28"/>
        <v>7</v>
      </c>
      <c r="AE68" s="61"/>
      <c r="AF68" s="143"/>
      <c r="AG68" s="13">
        <f t="shared" si="29"/>
        <v>7</v>
      </c>
      <c r="AH68" s="61"/>
      <c r="AI68" s="143"/>
      <c r="AJ68" s="13">
        <f t="shared" si="30"/>
        <v>7</v>
      </c>
      <c r="AK68" s="62"/>
      <c r="AL68" s="143"/>
      <c r="AM68" s="13">
        <f t="shared" si="6"/>
        <v>7</v>
      </c>
      <c r="AN68" s="61"/>
      <c r="AO68" s="143"/>
      <c r="AP68" s="13">
        <f t="shared" si="7"/>
        <v>7</v>
      </c>
      <c r="AQ68" s="62"/>
      <c r="AR68" s="143"/>
      <c r="AS68" s="13">
        <f t="shared" si="8"/>
        <v>7</v>
      </c>
      <c r="AT68" s="61">
        <f>48</f>
        <v>48</v>
      </c>
      <c r="AU68" s="143">
        <v>7</v>
      </c>
      <c r="AV68" s="13">
        <f t="shared" si="9"/>
        <v>48</v>
      </c>
      <c r="AW68" s="62"/>
      <c r="AX68" s="143">
        <f>14</f>
        <v>14</v>
      </c>
      <c r="AY68" s="13">
        <f t="shared" si="10"/>
        <v>34</v>
      </c>
      <c r="AZ68" s="62"/>
      <c r="BA68" s="143"/>
      <c r="BB68" s="13">
        <f t="shared" si="11"/>
        <v>34</v>
      </c>
      <c r="BC68" s="62"/>
      <c r="BD68" s="143"/>
      <c r="BE68" s="13">
        <f t="shared" si="12"/>
        <v>34</v>
      </c>
      <c r="BF68" s="62"/>
      <c r="BG68" s="143"/>
      <c r="BH68" s="13">
        <f t="shared" si="13"/>
        <v>34</v>
      </c>
      <c r="BI68" s="62"/>
      <c r="BJ68" s="143"/>
      <c r="BK68" s="13">
        <f t="shared" si="14"/>
        <v>34</v>
      </c>
      <c r="BL68" s="62"/>
      <c r="BM68" s="143">
        <f>7</f>
        <v>7</v>
      </c>
      <c r="BN68" s="13">
        <f t="shared" si="15"/>
        <v>27</v>
      </c>
      <c r="BO68" s="62"/>
      <c r="BP68" s="143"/>
      <c r="BQ68" s="13">
        <f t="shared" si="16"/>
        <v>27</v>
      </c>
      <c r="BR68" s="62"/>
      <c r="BS68" s="143">
        <f>3+2</f>
        <v>5</v>
      </c>
      <c r="BT68" s="13">
        <f t="shared" si="17"/>
        <v>22</v>
      </c>
      <c r="BU68" s="62"/>
      <c r="BV68" s="143"/>
      <c r="BW68" s="13">
        <f t="shared" si="18"/>
        <v>22</v>
      </c>
      <c r="BX68" s="62"/>
      <c r="BY68" s="143"/>
      <c r="BZ68" s="13">
        <f t="shared" si="19"/>
        <v>22</v>
      </c>
      <c r="CA68" s="62"/>
      <c r="CB68" s="143"/>
      <c r="CC68" s="13">
        <f t="shared" si="20"/>
        <v>22</v>
      </c>
      <c r="CD68" s="62"/>
      <c r="CE68" s="143"/>
      <c r="CF68" s="13">
        <f t="shared" si="21"/>
        <v>22</v>
      </c>
      <c r="CG68" s="62"/>
      <c r="CH68" s="143">
        <v>7</v>
      </c>
      <c r="CI68" s="13">
        <f t="shared" si="31"/>
        <v>15</v>
      </c>
      <c r="CJ68" s="62">
        <v>8</v>
      </c>
      <c r="CK68" s="143"/>
      <c r="CL68" s="13">
        <f t="shared" si="32"/>
        <v>23</v>
      </c>
      <c r="CM68" s="62"/>
      <c r="CN68" s="143">
        <v>15</v>
      </c>
      <c r="CO68" s="13">
        <f t="shared" si="22"/>
        <v>8</v>
      </c>
      <c r="CP68" s="62"/>
      <c r="CQ68" s="143">
        <v>8</v>
      </c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56</v>
      </c>
      <c r="CW68" s="4">
        <f t="shared" si="36"/>
        <v>88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1"/>
      <c r="AF69" s="143"/>
      <c r="AG69" s="13">
        <f>AD69+AE69-AF69</f>
        <v>0</v>
      </c>
      <c r="AH69" s="61"/>
      <c r="AI69" s="143"/>
      <c r="AJ69" s="13">
        <f>AG69+AH69-AI69</f>
        <v>0</v>
      </c>
      <c r="AK69" s="62"/>
      <c r="AL69" s="143"/>
      <c r="AM69" s="13">
        <f>AJ69+AK69-AL69</f>
        <v>0</v>
      </c>
      <c r="AN69" s="61"/>
      <c r="AO69" s="143"/>
      <c r="AP69" s="13">
        <f>AM69+AN69-AO69</f>
        <v>0</v>
      </c>
      <c r="AQ69" s="62"/>
      <c r="AR69" s="143"/>
      <c r="AS69" s="13">
        <f>AP69+AQ69-AR69</f>
        <v>0</v>
      </c>
      <c r="AT69" s="61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4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6" si="38">BW69+BX69-BY69</f>
        <v>0</v>
      </c>
      <c r="CA69" s="62"/>
      <c r="CB69" s="143"/>
      <c r="CC69" s="13">
        <f t="shared" ref="CC69:CC86" si="39">BZ69+CA69-CB69</f>
        <v>0</v>
      </c>
      <c r="CD69" s="62"/>
      <c r="CE69" s="143"/>
      <c r="CF69" s="13">
        <f t="shared" ref="CF69:CF86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6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4" si="42">CR69+CS69-CT69</f>
        <v>0</v>
      </c>
      <c r="CV69" s="5">
        <f t="shared" ref="CV69:CW94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4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20</v>
      </c>
      <c r="G70" s="62"/>
      <c r="H70" s="143"/>
      <c r="I70" s="13">
        <f>F70+G70-H70</f>
        <v>20</v>
      </c>
      <c r="J70" s="62"/>
      <c r="K70" s="143"/>
      <c r="L70" s="13">
        <f>I70+J70-K70</f>
        <v>20</v>
      </c>
      <c r="M70" s="62"/>
      <c r="N70" s="143"/>
      <c r="O70" s="13">
        <f>L70+M70-N70</f>
        <v>20</v>
      </c>
      <c r="P70" s="62"/>
      <c r="Q70" s="143"/>
      <c r="R70" s="30">
        <f>O70+P70-Q70</f>
        <v>20</v>
      </c>
      <c r="S70" s="62"/>
      <c r="T70" s="143"/>
      <c r="U70" s="13">
        <f>R70+S70-T70</f>
        <v>20</v>
      </c>
      <c r="V70" s="62"/>
      <c r="W70" s="143"/>
      <c r="X70" s="13">
        <f>U70+V70-W70</f>
        <v>20</v>
      </c>
      <c r="Y70" s="62"/>
      <c r="Z70" s="143"/>
      <c r="AA70" s="13">
        <f>X70+Y70-Z70</f>
        <v>20</v>
      </c>
      <c r="AB70" s="62"/>
      <c r="AC70" s="143"/>
      <c r="AD70" s="13">
        <f>AA70+AB70-AC70</f>
        <v>20</v>
      </c>
      <c r="AE70" s="61"/>
      <c r="AF70" s="143"/>
      <c r="AG70" s="13">
        <f>AD70+AE70-AF70</f>
        <v>20</v>
      </c>
      <c r="AH70" s="61"/>
      <c r="AI70" s="143"/>
      <c r="AJ70" s="13">
        <f>AG70+AH70-AI70</f>
        <v>20</v>
      </c>
      <c r="AK70" s="62"/>
      <c r="AL70" s="143"/>
      <c r="AM70" s="13">
        <f>AJ70+AK70-AL70</f>
        <v>20</v>
      </c>
      <c r="AN70" s="61"/>
      <c r="AO70" s="143"/>
      <c r="AP70" s="13">
        <f>AM70+AN70-AO70</f>
        <v>20</v>
      </c>
      <c r="AQ70" s="62"/>
      <c r="AR70" s="143"/>
      <c r="AS70" s="13">
        <f>AP70+AQ70-AR70</f>
        <v>20</v>
      </c>
      <c r="AT70" s="61"/>
      <c r="AU70" s="143"/>
      <c r="AV70" s="13">
        <f>AS70+AT70-AU70</f>
        <v>20</v>
      </c>
      <c r="AW70" s="62"/>
      <c r="AX70" s="143"/>
      <c r="AY70" s="13">
        <f>AV70+AW70-AX70</f>
        <v>20</v>
      </c>
      <c r="AZ70" s="62"/>
      <c r="BA70" s="143"/>
      <c r="BB70" s="13">
        <f>AY70+AZ70-BA70</f>
        <v>20</v>
      </c>
      <c r="BC70" s="62"/>
      <c r="BD70" s="143"/>
      <c r="BE70" s="13">
        <f>BB70+BC70-BD70</f>
        <v>20</v>
      </c>
      <c r="BF70" s="62"/>
      <c r="BG70" s="143"/>
      <c r="BH70" s="13">
        <f>BE70+BF70-BG70</f>
        <v>20</v>
      </c>
      <c r="BI70" s="62"/>
      <c r="BJ70" s="143"/>
      <c r="BK70" s="13">
        <f>BH70+BI70-BJ70</f>
        <v>20</v>
      </c>
      <c r="BL70" s="62"/>
      <c r="BM70" s="143"/>
      <c r="BN70" s="13">
        <f>BK70+BL70-BM70</f>
        <v>20</v>
      </c>
      <c r="BO70" s="62"/>
      <c r="BP70" s="143"/>
      <c r="BQ70" s="13">
        <f>BN70+BO70-BP70</f>
        <v>20</v>
      </c>
      <c r="BR70" s="62"/>
      <c r="BS70" s="143"/>
      <c r="BT70" s="13">
        <f t="shared" si="37"/>
        <v>20</v>
      </c>
      <c r="BU70" s="62"/>
      <c r="BV70" s="143"/>
      <c r="BW70" s="13">
        <f>BT70+BU70-BV70</f>
        <v>20</v>
      </c>
      <c r="BX70" s="62"/>
      <c r="BY70" s="143"/>
      <c r="BZ70" s="13">
        <f t="shared" si="38"/>
        <v>20</v>
      </c>
      <c r="CA70" s="62"/>
      <c r="CB70" s="143"/>
      <c r="CC70" s="13">
        <f t="shared" si="39"/>
        <v>20</v>
      </c>
      <c r="CD70" s="62"/>
      <c r="CE70" s="143"/>
      <c r="CF70" s="13">
        <f t="shared" si="40"/>
        <v>20</v>
      </c>
      <c r="CG70" s="62"/>
      <c r="CH70" s="143"/>
      <c r="CI70" s="13">
        <f t="shared" ref="CI70:CI86" si="46">CF70+CG70-CH70</f>
        <v>20</v>
      </c>
      <c r="CJ70" s="62"/>
      <c r="CK70" s="143"/>
      <c r="CL70" s="13">
        <f t="shared" ref="CL70:CL86" si="47">CI70+CJ70-CK70</f>
        <v>20</v>
      </c>
      <c r="CM70" s="62"/>
      <c r="CN70" s="143"/>
      <c r="CO70" s="13">
        <f t="shared" si="41"/>
        <v>20</v>
      </c>
      <c r="CP70" s="62"/>
      <c r="CQ70" s="143"/>
      <c r="CR70" s="13">
        <f t="shared" ref="CR70:CR86" si="48">CO70+CP70-CQ70</f>
        <v>20</v>
      </c>
      <c r="CS70" s="62"/>
      <c r="CT70" s="143"/>
      <c r="CU70" s="14">
        <f t="shared" si="42"/>
        <v>20</v>
      </c>
      <c r="CV70" s="5">
        <f t="shared" si="43"/>
        <v>0</v>
      </c>
      <c r="CW70" s="4">
        <f t="shared" si="43"/>
        <v>0</v>
      </c>
      <c r="CX70" s="6">
        <f t="shared" si="44"/>
        <v>20</v>
      </c>
      <c r="CY70" s="162">
        <v>0</v>
      </c>
      <c r="CZ70" s="171">
        <f t="shared" si="45"/>
        <v>0</v>
      </c>
      <c r="DB70" s="2">
        <f t="shared" ref="DB70:DB94" si="49">CU70</f>
        <v>20</v>
      </c>
      <c r="DC70" s="62"/>
      <c r="DD70" s="143"/>
      <c r="DE70" s="149">
        <f t="shared" si="35"/>
        <v>20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24</v>
      </c>
      <c r="G71" s="62"/>
      <c r="H71" s="143"/>
      <c r="I71" s="13">
        <f>F71+G71-H71</f>
        <v>24</v>
      </c>
      <c r="J71" s="62"/>
      <c r="K71" s="143">
        <f>6</f>
        <v>6</v>
      </c>
      <c r="L71" s="13">
        <f>I71+J71-K71</f>
        <v>18</v>
      </c>
      <c r="M71" s="62"/>
      <c r="N71" s="143"/>
      <c r="O71" s="13">
        <f>L71+M71-N71</f>
        <v>18</v>
      </c>
      <c r="P71" s="62"/>
      <c r="Q71" s="143"/>
      <c r="R71" s="13">
        <f>O71+P71-Q71</f>
        <v>18</v>
      </c>
      <c r="S71" s="62"/>
      <c r="T71" s="143"/>
      <c r="U71" s="13">
        <f>R71+S71-T71</f>
        <v>18</v>
      </c>
      <c r="V71" s="62"/>
      <c r="W71" s="143">
        <f>13+2</f>
        <v>15</v>
      </c>
      <c r="X71" s="13">
        <f>U71+V71-W71</f>
        <v>3</v>
      </c>
      <c r="Y71" s="62">
        <v>32</v>
      </c>
      <c r="Z71" s="143"/>
      <c r="AA71" s="13">
        <f>X71+Y71-Z71</f>
        <v>35</v>
      </c>
      <c r="AB71" s="62"/>
      <c r="AC71" s="143">
        <f>10</f>
        <v>10</v>
      </c>
      <c r="AD71" s="13">
        <f>AA71+AB71-AC71</f>
        <v>25</v>
      </c>
      <c r="AE71" s="61"/>
      <c r="AF71" s="143"/>
      <c r="AG71" s="13">
        <f>AD71+AE71-AF71</f>
        <v>25</v>
      </c>
      <c r="AH71" s="61"/>
      <c r="AI71" s="143">
        <v>1</v>
      </c>
      <c r="AJ71" s="13">
        <f>AG71+AH71-AI71</f>
        <v>24</v>
      </c>
      <c r="AK71" s="62"/>
      <c r="AL71" s="143"/>
      <c r="AM71" s="13">
        <f>AJ71+AK71-AL71</f>
        <v>24</v>
      </c>
      <c r="AN71" s="61"/>
      <c r="AO71" s="143"/>
      <c r="AP71" s="13">
        <f>AM71+AN71-AO71</f>
        <v>24</v>
      </c>
      <c r="AQ71" s="62"/>
      <c r="AR71" s="143"/>
      <c r="AS71" s="13">
        <f>AP71+AQ71-AR71</f>
        <v>24</v>
      </c>
      <c r="AT71" s="61"/>
      <c r="AU71" s="143">
        <f>7+3+1</f>
        <v>11</v>
      </c>
      <c r="AV71" s="13">
        <f>AS71+AT71-AU71</f>
        <v>13</v>
      </c>
      <c r="AW71" s="62"/>
      <c r="AX71" s="143"/>
      <c r="AY71" s="13">
        <f>AV71+AW71-AX71</f>
        <v>13</v>
      </c>
      <c r="AZ71" s="62"/>
      <c r="BA71" s="143"/>
      <c r="BB71" s="13">
        <f>AY71+AZ71-BA71</f>
        <v>13</v>
      </c>
      <c r="BC71" s="62"/>
      <c r="BD71" s="143"/>
      <c r="BE71" s="13">
        <f>BB71+BC71-BD71</f>
        <v>13</v>
      </c>
      <c r="BF71" s="62"/>
      <c r="BG71" s="143"/>
      <c r="BH71" s="13">
        <f>BE71+BF71-BG71</f>
        <v>13</v>
      </c>
      <c r="BI71" s="62"/>
      <c r="BJ71" s="143"/>
      <c r="BK71" s="13">
        <f>BH71+BI71-BJ71</f>
        <v>13</v>
      </c>
      <c r="BL71" s="62">
        <v>32</v>
      </c>
      <c r="BM71" s="143">
        <f>13</f>
        <v>13</v>
      </c>
      <c r="BN71" s="13">
        <f>BK71+BL71-BM71</f>
        <v>32</v>
      </c>
      <c r="BO71" s="62">
        <v>32</v>
      </c>
      <c r="BP71" s="143">
        <f>1</f>
        <v>1</v>
      </c>
      <c r="BQ71" s="13">
        <f>BN71+BO71-BP71</f>
        <v>63</v>
      </c>
      <c r="BR71" s="62"/>
      <c r="BS71" s="143">
        <f>10+6</f>
        <v>16</v>
      </c>
      <c r="BT71" s="13">
        <f t="shared" si="37"/>
        <v>47</v>
      </c>
      <c r="BU71" s="62"/>
      <c r="BV71" s="143">
        <f>7+13</f>
        <v>20</v>
      </c>
      <c r="BW71" s="13">
        <f>BT71+BU71-BV71</f>
        <v>27</v>
      </c>
      <c r="BX71" s="62"/>
      <c r="BY71" s="143"/>
      <c r="BZ71" s="13">
        <f t="shared" si="38"/>
        <v>27</v>
      </c>
      <c r="CA71" s="62"/>
      <c r="CB71" s="143"/>
      <c r="CC71" s="13">
        <f t="shared" si="39"/>
        <v>27</v>
      </c>
      <c r="CD71" s="62"/>
      <c r="CE71" s="143"/>
      <c r="CF71" s="13">
        <f t="shared" si="40"/>
        <v>27</v>
      </c>
      <c r="CG71" s="62"/>
      <c r="CH71" s="143">
        <v>12</v>
      </c>
      <c r="CI71" s="13">
        <f t="shared" si="46"/>
        <v>15</v>
      </c>
      <c r="CJ71" s="62"/>
      <c r="CK71" s="143">
        <f>7+3</f>
        <v>10</v>
      </c>
      <c r="CL71" s="13">
        <f t="shared" si="47"/>
        <v>5</v>
      </c>
      <c r="CM71" s="62"/>
      <c r="CN71" s="143"/>
      <c r="CO71" s="13">
        <f t="shared" si="41"/>
        <v>5</v>
      </c>
      <c r="CP71" s="62"/>
      <c r="CQ71" s="143">
        <f>2</f>
        <v>2</v>
      </c>
      <c r="CR71" s="13">
        <f t="shared" si="48"/>
        <v>3</v>
      </c>
      <c r="CS71" s="62"/>
      <c r="CT71" s="143"/>
      <c r="CU71" s="14">
        <f t="shared" si="42"/>
        <v>3</v>
      </c>
      <c r="CV71" s="5">
        <f t="shared" si="43"/>
        <v>96</v>
      </c>
      <c r="CW71" s="4">
        <f t="shared" si="43"/>
        <v>117</v>
      </c>
      <c r="CX71" s="6">
        <f t="shared" si="44"/>
        <v>3</v>
      </c>
      <c r="CY71" s="162">
        <v>163</v>
      </c>
      <c r="CZ71" s="171">
        <f t="shared" si="45"/>
        <v>489</v>
      </c>
      <c r="DB71" s="2">
        <f t="shared" si="49"/>
        <v>3</v>
      </c>
      <c r="DC71" s="62"/>
      <c r="DD71" s="143"/>
      <c r="DE71" s="149">
        <f t="shared" ref="DE71:DE94" si="50">DC71+DB71-DD71</f>
        <v>3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4">
        <v>0</v>
      </c>
      <c r="G72" s="61"/>
      <c r="H72" s="199"/>
      <c r="I72" s="13">
        <f>F72+G72-H72</f>
        <v>0</v>
      </c>
      <c r="J72" s="61"/>
      <c r="K72" s="199"/>
      <c r="L72" s="13">
        <f>I72+J72-K72</f>
        <v>0</v>
      </c>
      <c r="M72" s="61"/>
      <c r="N72" s="199"/>
      <c r="O72" s="13">
        <f>L72+M72-N72</f>
        <v>0</v>
      </c>
      <c r="P72" s="61"/>
      <c r="Q72" s="199"/>
      <c r="R72" s="30">
        <f>O72+P72-Q72</f>
        <v>0</v>
      </c>
      <c r="S72" s="61"/>
      <c r="T72" s="199"/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/>
      <c r="AL72" s="199"/>
      <c r="AM72" s="13">
        <f>AJ72+AK72-AL72</f>
        <v>0</v>
      </c>
      <c r="AN72" s="61"/>
      <c r="AO72" s="199"/>
      <c r="AP72" s="13">
        <f>AM72+AN72-AO72</f>
        <v>0</v>
      </c>
      <c r="AQ72" s="61"/>
      <c r="AR72" s="199"/>
      <c r="AS72" s="13">
        <f>AP72+AQ72-AR72</f>
        <v>0</v>
      </c>
      <c r="AT72" s="61"/>
      <c r="AU72" s="199"/>
      <c r="AV72" s="13">
        <f>AS72+AT72-AU72</f>
        <v>0</v>
      </c>
      <c r="AW72" s="61"/>
      <c r="AX72" s="199"/>
      <c r="AY72" s="13">
        <f>AV72+AW72-AX72</f>
        <v>0</v>
      </c>
      <c r="AZ72" s="62"/>
      <c r="BA72" s="199"/>
      <c r="BB72" s="13">
        <f>AY72+AZ72-BA72</f>
        <v>0</v>
      </c>
      <c r="BC72" s="62"/>
      <c r="BD72" s="199"/>
      <c r="BE72" s="13">
        <f>BB72+BC72-BD72</f>
        <v>0</v>
      </c>
      <c r="BF72" s="62"/>
      <c r="BG72" s="199"/>
      <c r="BH72" s="13">
        <f>BE72+BF72-BG72</f>
        <v>0</v>
      </c>
      <c r="BI72" s="62"/>
      <c r="BJ72" s="199"/>
      <c r="BK72" s="13">
        <f>BH72+BI72-BJ72</f>
        <v>0</v>
      </c>
      <c r="BL72" s="62"/>
      <c r="BM72" s="199"/>
      <c r="BN72" s="13">
        <f>BK72+BL72-BM72</f>
        <v>0</v>
      </c>
      <c r="BO72" s="62"/>
      <c r="BP72" s="199"/>
      <c r="BQ72" s="13">
        <f>BN72+BO72-BP72</f>
        <v>0</v>
      </c>
      <c r="BR72" s="62"/>
      <c r="BS72" s="199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1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5</v>
      </c>
      <c r="G73" s="62"/>
      <c r="H73" s="143"/>
      <c r="I73" s="13">
        <f t="shared" ref="I73:I76" si="51">F73+G73-H73</f>
        <v>5</v>
      </c>
      <c r="J73" s="62">
        <f>-3+28</f>
        <v>25</v>
      </c>
      <c r="K73" s="143">
        <f>5</f>
        <v>5</v>
      </c>
      <c r="L73" s="13">
        <f t="shared" ref="L73:L77" si="52">I73+J73-K73</f>
        <v>25</v>
      </c>
      <c r="M73" s="62"/>
      <c r="N73" s="143">
        <f>14</f>
        <v>14</v>
      </c>
      <c r="O73" s="13">
        <f t="shared" ref="O73:O77" si="53">L73+M73-N73</f>
        <v>11</v>
      </c>
      <c r="P73" s="62"/>
      <c r="Q73" s="143"/>
      <c r="R73" s="30">
        <f t="shared" ref="R73:R77" si="54">O73+P73-Q73</f>
        <v>11</v>
      </c>
      <c r="S73" s="62"/>
      <c r="T73" s="143"/>
      <c r="U73" s="13">
        <f t="shared" ref="U73:U76" si="55">R73+S73-T73</f>
        <v>11</v>
      </c>
      <c r="V73" s="62">
        <v>32</v>
      </c>
      <c r="W73" s="143"/>
      <c r="X73" s="13">
        <f t="shared" ref="X73:X77" si="56">U73+V73-W73</f>
        <v>43</v>
      </c>
      <c r="Y73" s="62"/>
      <c r="Z73" s="143">
        <v>14</v>
      </c>
      <c r="AA73" s="13">
        <f t="shared" ref="AA73:AA94" si="57">X73+Y73-Z73</f>
        <v>29</v>
      </c>
      <c r="AB73" s="62"/>
      <c r="AC73" s="143">
        <f>12</f>
        <v>12</v>
      </c>
      <c r="AD73" s="13">
        <f t="shared" ref="AD73:AD77" si="58">AA73+AB73-AC73</f>
        <v>17</v>
      </c>
      <c r="AE73" s="61"/>
      <c r="AF73" s="143"/>
      <c r="AG73" s="13">
        <f t="shared" ref="AG73:AG77" si="59">AD73+AE73-AF73</f>
        <v>17</v>
      </c>
      <c r="AH73" s="61"/>
      <c r="AI73" s="143"/>
      <c r="AJ73" s="13">
        <f t="shared" ref="AJ73:AJ77" si="60">AG73+AH73-AI73</f>
        <v>17</v>
      </c>
      <c r="AK73" s="62"/>
      <c r="AL73" s="143"/>
      <c r="AM73" s="13">
        <f t="shared" ref="AM73:AM77" si="61">AJ73+AK73-AL73</f>
        <v>17</v>
      </c>
      <c r="AN73" s="61"/>
      <c r="AO73" s="143"/>
      <c r="AP73" s="13">
        <f t="shared" ref="AP73:AP77" si="62">AM73+AN73-AO73</f>
        <v>17</v>
      </c>
      <c r="AQ73" s="62"/>
      <c r="AR73" s="143"/>
      <c r="AS73" s="13">
        <f t="shared" ref="AS73:AS77" si="63">AP73+AQ73-AR73</f>
        <v>17</v>
      </c>
      <c r="AT73" s="61"/>
      <c r="AU73" s="143">
        <f>9</f>
        <v>9</v>
      </c>
      <c r="AV73" s="13">
        <f t="shared" ref="AV73:AV77" si="64">AS73+AT73-AU73</f>
        <v>8</v>
      </c>
      <c r="AW73" s="62"/>
      <c r="AX73" s="143"/>
      <c r="AY73" s="13">
        <f t="shared" ref="AY73:AY77" si="65">AV73+AW73-AX73</f>
        <v>8</v>
      </c>
      <c r="AZ73" s="62">
        <v>28</v>
      </c>
      <c r="BA73" s="143"/>
      <c r="BB73" s="13">
        <f t="shared" ref="BB73:BB77" si="66">AY73+AZ73-BA73</f>
        <v>36</v>
      </c>
      <c r="BC73" s="62"/>
      <c r="BD73" s="143">
        <v>13</v>
      </c>
      <c r="BE73" s="13">
        <f t="shared" ref="BE73:BE77" si="67">BB73+BC73-BD73</f>
        <v>23</v>
      </c>
      <c r="BF73" s="62"/>
      <c r="BG73" s="143"/>
      <c r="BH73" s="13">
        <f t="shared" ref="BH73:BH77" si="68">BE73+BF73-BG73</f>
        <v>23</v>
      </c>
      <c r="BI73" s="62"/>
      <c r="BJ73" s="143"/>
      <c r="BK73" s="13">
        <f t="shared" ref="BK73:BK77" si="69">BH73+BI73-BJ73</f>
        <v>23</v>
      </c>
      <c r="BL73" s="62"/>
      <c r="BM73" s="143"/>
      <c r="BN73" s="13">
        <f t="shared" ref="BN73:BN77" si="70">BK73+BL73-BM73</f>
        <v>23</v>
      </c>
      <c r="BO73" s="62"/>
      <c r="BP73" s="143"/>
      <c r="BQ73" s="13">
        <f t="shared" ref="BQ73:BQ77" si="71">BN73+BO73-BP73</f>
        <v>23</v>
      </c>
      <c r="BR73" s="62"/>
      <c r="BS73" s="143">
        <f>10</f>
        <v>10</v>
      </c>
      <c r="BT73" s="13">
        <f t="shared" si="37"/>
        <v>13</v>
      </c>
      <c r="BU73" s="62"/>
      <c r="BV73" s="143"/>
      <c r="BW73" s="13">
        <f t="shared" ref="BW73:BW77" si="72">BT73+BU73-BV73</f>
        <v>13</v>
      </c>
      <c r="BX73" s="62"/>
      <c r="BY73" s="143"/>
      <c r="BZ73" s="13">
        <f t="shared" si="38"/>
        <v>13</v>
      </c>
      <c r="CA73" s="62"/>
      <c r="CB73" s="143"/>
      <c r="CC73" s="13">
        <f t="shared" si="39"/>
        <v>13</v>
      </c>
      <c r="CD73" s="62"/>
      <c r="CE73" s="143"/>
      <c r="CF73" s="13">
        <f t="shared" si="40"/>
        <v>13</v>
      </c>
      <c r="CG73" s="62"/>
      <c r="CH73" s="143"/>
      <c r="CI73" s="13">
        <f t="shared" si="46"/>
        <v>13</v>
      </c>
      <c r="CJ73" s="62"/>
      <c r="CK73" s="143"/>
      <c r="CL73" s="13">
        <f t="shared" si="47"/>
        <v>13</v>
      </c>
      <c r="CM73" s="62"/>
      <c r="CN73" s="143"/>
      <c r="CO73" s="13">
        <f t="shared" si="41"/>
        <v>13</v>
      </c>
      <c r="CP73" s="62"/>
      <c r="CQ73" s="143"/>
      <c r="CR73" s="13">
        <f t="shared" si="48"/>
        <v>13</v>
      </c>
      <c r="CS73" s="62"/>
      <c r="CT73" s="143"/>
      <c r="CU73" s="14">
        <f t="shared" si="42"/>
        <v>13</v>
      </c>
      <c r="CV73" s="5">
        <f t="shared" si="43"/>
        <v>85</v>
      </c>
      <c r="CW73" s="4">
        <f t="shared" si="43"/>
        <v>77</v>
      </c>
      <c r="CX73" s="6">
        <f t="shared" si="44"/>
        <v>13</v>
      </c>
      <c r="CY73" s="162">
        <v>214</v>
      </c>
      <c r="CZ73" s="171">
        <f t="shared" si="45"/>
        <v>2782</v>
      </c>
      <c r="DB73" s="2">
        <f t="shared" si="49"/>
        <v>13</v>
      </c>
      <c r="DC73" s="62"/>
      <c r="DD73" s="143"/>
      <c r="DE73" s="149">
        <f t="shared" si="50"/>
        <v>13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1"/>
      <c r="AF74" s="143"/>
      <c r="AG74" s="13">
        <f t="shared" si="59"/>
        <v>0</v>
      </c>
      <c r="AH74" s="61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1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1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90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4</v>
      </c>
      <c r="G75" s="62"/>
      <c r="H75" s="143"/>
      <c r="I75" s="13">
        <f t="shared" si="51"/>
        <v>4</v>
      </c>
      <c r="J75" s="62">
        <f>-13+20</f>
        <v>7</v>
      </c>
      <c r="K75" s="143">
        <f>3+1</f>
        <v>4</v>
      </c>
      <c r="L75" s="13">
        <f>I75+J75-K75</f>
        <v>7</v>
      </c>
      <c r="M75" s="62">
        <f>-9+18</f>
        <v>9</v>
      </c>
      <c r="N75" s="143">
        <f>2+5</f>
        <v>7</v>
      </c>
      <c r="O75" s="13">
        <f t="shared" si="53"/>
        <v>9</v>
      </c>
      <c r="P75" s="62">
        <f>-30+38</f>
        <v>8</v>
      </c>
      <c r="Q75" s="143">
        <f>3+6</f>
        <v>9</v>
      </c>
      <c r="R75" s="30">
        <f t="shared" si="54"/>
        <v>8</v>
      </c>
      <c r="S75" s="62"/>
      <c r="T75" s="143"/>
      <c r="U75" s="13">
        <f t="shared" si="55"/>
        <v>8</v>
      </c>
      <c r="V75" s="62">
        <f>-9+16</f>
        <v>7</v>
      </c>
      <c r="W75" s="143">
        <f>2+6</f>
        <v>8</v>
      </c>
      <c r="X75" s="13">
        <f t="shared" si="56"/>
        <v>7</v>
      </c>
      <c r="Y75" s="62">
        <f>-16+24</f>
        <v>8</v>
      </c>
      <c r="Z75" s="143">
        <f>3+4</f>
        <v>7</v>
      </c>
      <c r="AA75" s="13">
        <f t="shared" si="57"/>
        <v>8</v>
      </c>
      <c r="AB75" s="62"/>
      <c r="AC75" s="143"/>
      <c r="AD75" s="13">
        <f t="shared" si="58"/>
        <v>8</v>
      </c>
      <c r="AE75" s="61">
        <f>-8+14</f>
        <v>6</v>
      </c>
      <c r="AF75" s="143">
        <f>2+6</f>
        <v>8</v>
      </c>
      <c r="AG75" s="13">
        <f t="shared" si="59"/>
        <v>6</v>
      </c>
      <c r="AH75" s="61">
        <f>-11+30</f>
        <v>19</v>
      </c>
      <c r="AI75" s="143">
        <v>6</v>
      </c>
      <c r="AJ75" s="13">
        <f t="shared" si="60"/>
        <v>19</v>
      </c>
      <c r="AK75" s="62">
        <f>-16+46</f>
        <v>30</v>
      </c>
      <c r="AL75" s="143">
        <f>3+16</f>
        <v>19</v>
      </c>
      <c r="AM75" s="13">
        <f t="shared" si="61"/>
        <v>30</v>
      </c>
      <c r="AN75" s="61"/>
      <c r="AO75" s="143"/>
      <c r="AP75" s="13">
        <f t="shared" si="62"/>
        <v>30</v>
      </c>
      <c r="AQ75" s="62"/>
      <c r="AR75" s="143">
        <f>3+22+1</f>
        <v>26</v>
      </c>
      <c r="AS75" s="13">
        <f t="shared" si="63"/>
        <v>4</v>
      </c>
      <c r="AT75" s="61">
        <f>-10+16</f>
        <v>6</v>
      </c>
      <c r="AU75" s="143">
        <f>2+2</f>
        <v>4</v>
      </c>
      <c r="AV75" s="13">
        <f t="shared" si="64"/>
        <v>6</v>
      </c>
      <c r="AW75" s="62"/>
      <c r="AX75" s="143"/>
      <c r="AY75" s="13">
        <f t="shared" si="65"/>
        <v>6</v>
      </c>
      <c r="AZ75" s="62">
        <f>-7+12</f>
        <v>5</v>
      </c>
      <c r="BA75" s="143">
        <f>2+4</f>
        <v>6</v>
      </c>
      <c r="BB75" s="13">
        <f t="shared" si="66"/>
        <v>5</v>
      </c>
      <c r="BC75" s="62">
        <f>-10+20</f>
        <v>10</v>
      </c>
      <c r="BD75" s="143">
        <f>2+3</f>
        <v>5</v>
      </c>
      <c r="BE75" s="13">
        <f t="shared" si="67"/>
        <v>10</v>
      </c>
      <c r="BF75" s="62">
        <f>-29+-1+38</f>
        <v>8</v>
      </c>
      <c r="BG75" s="143">
        <f>4+6</f>
        <v>10</v>
      </c>
      <c r="BH75" s="13">
        <f t="shared" si="68"/>
        <v>8</v>
      </c>
      <c r="BI75" s="62"/>
      <c r="BJ75" s="143"/>
      <c r="BK75" s="13">
        <f t="shared" si="69"/>
        <v>8</v>
      </c>
      <c r="BL75" s="62">
        <f>-16+20</f>
        <v>4</v>
      </c>
      <c r="BM75" s="143">
        <f>3+5</f>
        <v>8</v>
      </c>
      <c r="BN75" s="13">
        <f t="shared" si="70"/>
        <v>4</v>
      </c>
      <c r="BO75" s="62">
        <f>-17+22</f>
        <v>5</v>
      </c>
      <c r="BP75" s="143">
        <v>4</v>
      </c>
      <c r="BQ75" s="13">
        <f t="shared" si="71"/>
        <v>5</v>
      </c>
      <c r="BR75" s="62"/>
      <c r="BS75" s="143">
        <v>4</v>
      </c>
      <c r="BT75" s="13">
        <f t="shared" si="37"/>
        <v>1</v>
      </c>
      <c r="BU75" s="62">
        <f>-9+14+4</f>
        <v>9</v>
      </c>
      <c r="BV75" s="143">
        <f>1</f>
        <v>1</v>
      </c>
      <c r="BW75" s="13">
        <f t="shared" si="72"/>
        <v>9</v>
      </c>
      <c r="BX75" s="62">
        <f>-10+18</f>
        <v>8</v>
      </c>
      <c r="BY75" s="143">
        <f>1+8</f>
        <v>9</v>
      </c>
      <c r="BZ75" s="13">
        <f t="shared" si="38"/>
        <v>8</v>
      </c>
      <c r="CA75" s="62">
        <f>-21+25</f>
        <v>4</v>
      </c>
      <c r="CB75" s="143">
        <f>3+5</f>
        <v>8</v>
      </c>
      <c r="CC75" s="13">
        <f t="shared" si="39"/>
        <v>4</v>
      </c>
      <c r="CD75" s="62"/>
      <c r="CE75" s="143"/>
      <c r="CF75" s="13">
        <f t="shared" si="40"/>
        <v>4</v>
      </c>
      <c r="CG75" s="62">
        <f>-12+18</f>
        <v>6</v>
      </c>
      <c r="CH75" s="143">
        <f>2+2</f>
        <v>4</v>
      </c>
      <c r="CI75" s="13">
        <f t="shared" si="46"/>
        <v>6</v>
      </c>
      <c r="CJ75" s="62">
        <f>-12+18</f>
        <v>6</v>
      </c>
      <c r="CK75" s="143">
        <f>3+3</f>
        <v>6</v>
      </c>
      <c r="CL75" s="13">
        <f t="shared" si="47"/>
        <v>6</v>
      </c>
      <c r="CM75" s="62"/>
      <c r="CN75" s="143"/>
      <c r="CO75" s="13">
        <f t="shared" si="41"/>
        <v>6</v>
      </c>
      <c r="CP75" s="62">
        <f>-8+14</f>
        <v>6</v>
      </c>
      <c r="CQ75" s="143">
        <f>3+3</f>
        <v>6</v>
      </c>
      <c r="CR75" s="13">
        <f t="shared" si="48"/>
        <v>6</v>
      </c>
      <c r="CS75" s="62">
        <v>8</v>
      </c>
      <c r="CT75" s="143">
        <f>2+3</f>
        <v>5</v>
      </c>
      <c r="CU75" s="14">
        <f t="shared" si="42"/>
        <v>9</v>
      </c>
      <c r="CV75" s="5">
        <f t="shared" si="43"/>
        <v>179</v>
      </c>
      <c r="CW75" s="4">
        <f t="shared" si="43"/>
        <v>174</v>
      </c>
      <c r="CX75" s="6">
        <f t="shared" si="44"/>
        <v>9</v>
      </c>
      <c r="CY75" s="162">
        <v>650</v>
      </c>
      <c r="CZ75" s="171">
        <f t="shared" si="45"/>
        <v>5850</v>
      </c>
      <c r="DB75" s="2">
        <f t="shared" si="49"/>
        <v>9</v>
      </c>
      <c r="DC75" s="62"/>
      <c r="DD75" s="143"/>
      <c r="DE75" s="149">
        <f t="shared" si="50"/>
        <v>9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1"/>
      <c r="AL76" s="143"/>
      <c r="AM76" s="13">
        <f t="shared" si="61"/>
        <v>0</v>
      </c>
      <c r="AN76" s="62"/>
      <c r="AO76" s="143"/>
      <c r="AP76" s="13">
        <f t="shared" si="62"/>
        <v>0</v>
      </c>
      <c r="AQ76" s="61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/>
      <c r="BM76" s="143"/>
      <c r="BN76" s="13">
        <f t="shared" si="70"/>
        <v>0</v>
      </c>
      <c r="BO76" s="62"/>
      <c r="BP76" s="143"/>
      <c r="BQ76" s="13">
        <f t="shared" si="71"/>
        <v>0</v>
      </c>
      <c r="BR76" s="62"/>
      <c r="BS76" s="143"/>
      <c r="BT76" s="13">
        <f t="shared" si="37"/>
        <v>0</v>
      </c>
      <c r="BU76" s="62"/>
      <c r="BV76" s="143"/>
      <c r="BW76" s="13">
        <f t="shared" si="72"/>
        <v>0</v>
      </c>
      <c r="BX76" s="62"/>
      <c r="BY76" s="143"/>
      <c r="BZ76" s="13">
        <f t="shared" si="38"/>
        <v>0</v>
      </c>
      <c r="CA76" s="62"/>
      <c r="CB76" s="143"/>
      <c r="CC76" s="13">
        <f t="shared" si="39"/>
        <v>0</v>
      </c>
      <c r="CD76" s="62"/>
      <c r="CE76" s="143"/>
      <c r="CF76" s="13">
        <f t="shared" si="40"/>
        <v>0</v>
      </c>
      <c r="CG76" s="62"/>
      <c r="CH76" s="143"/>
      <c r="CI76" s="13">
        <f t="shared" si="46"/>
        <v>0</v>
      </c>
      <c r="CJ76" s="62"/>
      <c r="CK76" s="143"/>
      <c r="CL76" s="13">
        <f t="shared" si="47"/>
        <v>0</v>
      </c>
      <c r="CM76" s="62"/>
      <c r="CN76" s="143"/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0</v>
      </c>
      <c r="CW76" s="4">
        <f t="shared" si="43"/>
        <v>0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12</v>
      </c>
      <c r="G77" s="62">
        <f>36-10-1</f>
        <v>25</v>
      </c>
      <c r="H77" s="143">
        <f>10+6</f>
        <v>16</v>
      </c>
      <c r="I77" s="13">
        <f>F77+G77-H77</f>
        <v>21</v>
      </c>
      <c r="J77" s="62"/>
      <c r="K77" s="143"/>
      <c r="L77" s="13">
        <f t="shared" si="52"/>
        <v>21</v>
      </c>
      <c r="M77" s="62">
        <v>36</v>
      </c>
      <c r="N77" s="143">
        <f>10+1</f>
        <v>11</v>
      </c>
      <c r="O77" s="13">
        <f t="shared" si="53"/>
        <v>46</v>
      </c>
      <c r="P77" s="62"/>
      <c r="Q77" s="143"/>
      <c r="R77" s="30">
        <f t="shared" si="54"/>
        <v>46</v>
      </c>
      <c r="S77" s="62"/>
      <c r="T77" s="143"/>
      <c r="U77" s="13">
        <f>R77+S77-T77</f>
        <v>46</v>
      </c>
      <c r="V77" s="62">
        <v>36</v>
      </c>
      <c r="W77" s="143">
        <f>5+6+6+18</f>
        <v>35</v>
      </c>
      <c r="X77" s="13">
        <f t="shared" si="56"/>
        <v>47</v>
      </c>
      <c r="Y77" s="62"/>
      <c r="Z77" s="143">
        <f>12+6</f>
        <v>18</v>
      </c>
      <c r="AA77" s="13">
        <f t="shared" si="57"/>
        <v>29</v>
      </c>
      <c r="AB77" s="62">
        <f>-7+36</f>
        <v>29</v>
      </c>
      <c r="AC77" s="143">
        <f>15+5+9</f>
        <v>29</v>
      </c>
      <c r="AD77" s="13">
        <f t="shared" si="58"/>
        <v>29</v>
      </c>
      <c r="AE77" s="62"/>
      <c r="AF77" s="143">
        <f>1</f>
        <v>1</v>
      </c>
      <c r="AG77" s="13">
        <f t="shared" si="59"/>
        <v>28</v>
      </c>
      <c r="AH77" s="62"/>
      <c r="AI77" s="143">
        <f>10+1+1</f>
        <v>12</v>
      </c>
      <c r="AJ77" s="13">
        <f t="shared" si="60"/>
        <v>16</v>
      </c>
      <c r="AK77" s="61"/>
      <c r="AL77" s="143"/>
      <c r="AM77" s="13">
        <f t="shared" si="61"/>
        <v>16</v>
      </c>
      <c r="AN77" s="62"/>
      <c r="AO77" s="143"/>
      <c r="AP77" s="13">
        <f t="shared" si="62"/>
        <v>16</v>
      </c>
      <c r="AQ77" s="61"/>
      <c r="AR77" s="143"/>
      <c r="AS77" s="13">
        <f t="shared" si="63"/>
        <v>16</v>
      </c>
      <c r="AT77" s="62">
        <v>36</v>
      </c>
      <c r="AU77" s="143">
        <f>10+6+7+9+1</f>
        <v>33</v>
      </c>
      <c r="AV77" s="13">
        <f t="shared" si="64"/>
        <v>19</v>
      </c>
      <c r="AW77" s="62">
        <v>36</v>
      </c>
      <c r="AX77" s="143">
        <f>10+5+18</f>
        <v>33</v>
      </c>
      <c r="AY77" s="13">
        <f t="shared" si="65"/>
        <v>22</v>
      </c>
      <c r="AZ77" s="62"/>
      <c r="BA77" s="143">
        <f>10+1</f>
        <v>11</v>
      </c>
      <c r="BB77" s="13">
        <f t="shared" si="66"/>
        <v>11</v>
      </c>
      <c r="BC77" s="62"/>
      <c r="BD77" s="143">
        <f>4+1</f>
        <v>5</v>
      </c>
      <c r="BE77" s="13">
        <f t="shared" si="67"/>
        <v>6</v>
      </c>
      <c r="BF77" s="62"/>
      <c r="BG77" s="143">
        <v>6</v>
      </c>
      <c r="BH77" s="13">
        <f t="shared" si="68"/>
        <v>0</v>
      </c>
      <c r="BI77" s="62"/>
      <c r="BJ77" s="143"/>
      <c r="BK77" s="13">
        <f t="shared" si="69"/>
        <v>0</v>
      </c>
      <c r="BL77" s="62">
        <v>36</v>
      </c>
      <c r="BM77" s="143">
        <f>10+1+18</f>
        <v>29</v>
      </c>
      <c r="BN77" s="13">
        <f t="shared" si="70"/>
        <v>7</v>
      </c>
      <c r="BO77" s="62">
        <f>36-5-6</f>
        <v>25</v>
      </c>
      <c r="BP77" s="143">
        <v>7</v>
      </c>
      <c r="BQ77" s="13">
        <f t="shared" si="71"/>
        <v>25</v>
      </c>
      <c r="BR77" s="62">
        <v>36</v>
      </c>
      <c r="BS77" s="143">
        <f>15+6+4+13</f>
        <v>38</v>
      </c>
      <c r="BT77" s="13">
        <f t="shared" si="37"/>
        <v>23</v>
      </c>
      <c r="BU77" s="62">
        <v>36</v>
      </c>
      <c r="BV77" s="143">
        <f>10+1</f>
        <v>11</v>
      </c>
      <c r="BW77" s="13">
        <f t="shared" si="72"/>
        <v>48</v>
      </c>
      <c r="BX77" s="62"/>
      <c r="BY77" s="143">
        <f>2+1+1</f>
        <v>4</v>
      </c>
      <c r="BZ77" s="13">
        <f t="shared" si="38"/>
        <v>44</v>
      </c>
      <c r="CA77" s="62"/>
      <c r="CB77" s="143">
        <f>6</f>
        <v>6</v>
      </c>
      <c r="CC77" s="13">
        <f t="shared" si="39"/>
        <v>38</v>
      </c>
      <c r="CD77" s="62"/>
      <c r="CE77" s="143"/>
      <c r="CF77" s="13">
        <f t="shared" si="40"/>
        <v>38</v>
      </c>
      <c r="CG77" s="62"/>
      <c r="CH77" s="143">
        <f>10+1+15</f>
        <v>26</v>
      </c>
      <c r="CI77" s="13">
        <f t="shared" si="46"/>
        <v>12</v>
      </c>
      <c r="CJ77" s="62">
        <v>36</v>
      </c>
      <c r="CK77" s="143">
        <f>5+6</f>
        <v>11</v>
      </c>
      <c r="CL77" s="13">
        <f t="shared" si="47"/>
        <v>37</v>
      </c>
      <c r="CM77" s="62"/>
      <c r="CN77" s="143">
        <f>10+6+17</f>
        <v>33</v>
      </c>
      <c r="CO77" s="13">
        <f t="shared" si="41"/>
        <v>4</v>
      </c>
      <c r="CP77" s="62">
        <v>36</v>
      </c>
      <c r="CQ77" s="143">
        <f>10+2</f>
        <v>12</v>
      </c>
      <c r="CR77" s="13">
        <f t="shared" si="48"/>
        <v>28</v>
      </c>
      <c r="CS77" s="62"/>
      <c r="CT77" s="143">
        <f>10+1+1+3</f>
        <v>15</v>
      </c>
      <c r="CU77" s="14">
        <f t="shared" si="42"/>
        <v>13</v>
      </c>
      <c r="CV77" s="5">
        <f t="shared" si="43"/>
        <v>403</v>
      </c>
      <c r="CW77" s="4">
        <f t="shared" si="43"/>
        <v>402</v>
      </c>
      <c r="CX77" s="6">
        <f t="shared" si="44"/>
        <v>13</v>
      </c>
      <c r="CY77" s="162">
        <v>205</v>
      </c>
      <c r="CZ77" s="171">
        <f t="shared" si="45"/>
        <v>2665</v>
      </c>
      <c r="DB77" s="2">
        <f t="shared" si="49"/>
        <v>13</v>
      </c>
      <c r="DC77" s="62"/>
      <c r="DD77" s="143"/>
      <c r="DE77" s="149">
        <f t="shared" si="50"/>
        <v>13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1"/>
      <c r="AL78" s="143"/>
      <c r="AM78" s="13">
        <f>AJ78+AK78-AL78</f>
        <v>0</v>
      </c>
      <c r="AN78" s="62"/>
      <c r="AO78" s="143"/>
      <c r="AP78" s="13">
        <f>AM78+AN78-AO78</f>
        <v>0</v>
      </c>
      <c r="AQ78" s="61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/>
      <c r="E79" s="37">
        <v>6</v>
      </c>
      <c r="F79" s="14">
        <v>0</v>
      </c>
      <c r="G79" s="62"/>
      <c r="H79" s="143"/>
      <c r="I79" s="13">
        <f t="shared" ref="I79:I94" si="73">F79+G79-H79</f>
        <v>0</v>
      </c>
      <c r="J79" s="62"/>
      <c r="K79" s="143"/>
      <c r="L79" s="13">
        <f t="shared" ref="L79:L94" si="74">I79+J79-K79</f>
        <v>0</v>
      </c>
      <c r="M79" s="62"/>
      <c r="N79" s="143"/>
      <c r="O79" s="13">
        <f t="shared" ref="O79:O94" si="75">L79+M79-N79</f>
        <v>0</v>
      </c>
      <c r="P79" s="62"/>
      <c r="Q79" s="143"/>
      <c r="R79" s="30">
        <f t="shared" ref="R79:R94" si="76">O79+P79-Q79</f>
        <v>0</v>
      </c>
      <c r="S79" s="62"/>
      <c r="T79" s="143"/>
      <c r="U79" s="13">
        <f t="shared" ref="U79:U94" si="77">R79+S79-T79</f>
        <v>0</v>
      </c>
      <c r="V79" s="62"/>
      <c r="W79" s="143"/>
      <c r="X79" s="13">
        <f t="shared" ref="X79:X94" si="78">U79+V79-W79</f>
        <v>0</v>
      </c>
      <c r="Y79" s="62"/>
      <c r="Z79" s="143"/>
      <c r="AA79" s="13">
        <f t="shared" ref="AA79:AA84" si="79">X79+Y79-Z79</f>
        <v>0</v>
      </c>
      <c r="AB79" s="62"/>
      <c r="AC79" s="143"/>
      <c r="AD79" s="13">
        <f t="shared" ref="AD79:AD94" si="80">AA79+AB79-AC79</f>
        <v>0</v>
      </c>
      <c r="AE79" s="62"/>
      <c r="AF79" s="143"/>
      <c r="AG79" s="13">
        <f t="shared" ref="AG79:AG94" si="81">AD79+AE79-AF79</f>
        <v>0</v>
      </c>
      <c r="AH79" s="62"/>
      <c r="AI79" s="143"/>
      <c r="AJ79" s="13">
        <f t="shared" ref="AJ79:AJ94" si="82">AG79+AH79-AI79</f>
        <v>0</v>
      </c>
      <c r="AK79" s="62"/>
      <c r="AL79" s="143"/>
      <c r="AM79" s="13">
        <f t="shared" ref="AM79:AM94" si="83">AJ79+AK79-AL79</f>
        <v>0</v>
      </c>
      <c r="AN79" s="62"/>
      <c r="AO79" s="143"/>
      <c r="AP79" s="13">
        <f t="shared" ref="AP79:AP94" si="84">AM79+AN79-AO79</f>
        <v>0</v>
      </c>
      <c r="AQ79" s="61"/>
      <c r="AR79" s="143"/>
      <c r="AS79" s="13">
        <f t="shared" ref="AS79:AS94" si="85">AP79+AQ79-AR79</f>
        <v>0</v>
      </c>
      <c r="AT79" s="62"/>
      <c r="AU79" s="143"/>
      <c r="AV79" s="13">
        <f t="shared" ref="AV79:AV94" si="86">AS79+AT79-AU79</f>
        <v>0</v>
      </c>
      <c r="AW79" s="62"/>
      <c r="AX79" s="143"/>
      <c r="AY79" s="13">
        <f t="shared" ref="AY79:AY94" si="87">AV79+AW79-AX79</f>
        <v>0</v>
      </c>
      <c r="AZ79" s="62"/>
      <c r="BA79" s="143"/>
      <c r="BB79" s="13">
        <f t="shared" ref="BB79:BB94" si="88">AY79+AZ79-BA79</f>
        <v>0</v>
      </c>
      <c r="BC79" s="62"/>
      <c r="BD79" s="143"/>
      <c r="BE79" s="13">
        <f t="shared" ref="BE79:BE94" si="89">BB79+BC79-BD79</f>
        <v>0</v>
      </c>
      <c r="BF79" s="62"/>
      <c r="BG79" s="143"/>
      <c r="BH79" s="13">
        <f t="shared" ref="BH79:BH94" si="90">BE79+BF79-BG79</f>
        <v>0</v>
      </c>
      <c r="BI79" s="62"/>
      <c r="BJ79" s="143"/>
      <c r="BK79" s="13">
        <f t="shared" ref="BK79:BK94" si="91">BH79+BI79-BJ79</f>
        <v>0</v>
      </c>
      <c r="BL79" s="62"/>
      <c r="BM79" s="143"/>
      <c r="BN79" s="13">
        <f t="shared" ref="BN79:BN94" si="92">BK79+BL79-BM79</f>
        <v>0</v>
      </c>
      <c r="BO79" s="62"/>
      <c r="BP79" s="143"/>
      <c r="BQ79" s="13">
        <f t="shared" ref="BQ79:BQ94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4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4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/>
      <c r="E80" s="37">
        <v>6</v>
      </c>
      <c r="F80" s="14">
        <v>18</v>
      </c>
      <c r="G80" s="62"/>
      <c r="H80" s="143"/>
      <c r="I80" s="13">
        <f t="shared" si="73"/>
        <v>18</v>
      </c>
      <c r="J80" s="62"/>
      <c r="K80" s="143">
        <f>3</f>
        <v>3</v>
      </c>
      <c r="L80" s="13">
        <f t="shared" si="74"/>
        <v>15</v>
      </c>
      <c r="M80" s="62"/>
      <c r="N80" s="143"/>
      <c r="O80" s="13">
        <f t="shared" si="75"/>
        <v>15</v>
      </c>
      <c r="P80" s="62"/>
      <c r="Q80" s="143"/>
      <c r="R80" s="30">
        <f t="shared" si="76"/>
        <v>15</v>
      </c>
      <c r="S80" s="62"/>
      <c r="T80" s="143"/>
      <c r="U80" s="13">
        <f t="shared" si="77"/>
        <v>15</v>
      </c>
      <c r="V80" s="62"/>
      <c r="W80" s="143"/>
      <c r="X80" s="30">
        <f t="shared" si="78"/>
        <v>15</v>
      </c>
      <c r="Y80" s="62"/>
      <c r="Z80" s="143"/>
      <c r="AA80" s="13">
        <f t="shared" si="79"/>
        <v>15</v>
      </c>
      <c r="AB80" s="62"/>
      <c r="AC80" s="143"/>
      <c r="AD80" s="13">
        <f t="shared" si="80"/>
        <v>15</v>
      </c>
      <c r="AE80" s="62"/>
      <c r="AF80" s="143"/>
      <c r="AG80" s="13">
        <f t="shared" si="81"/>
        <v>15</v>
      </c>
      <c r="AH80" s="62"/>
      <c r="AI80" s="143">
        <f>4+4</f>
        <v>8</v>
      </c>
      <c r="AJ80" s="13">
        <f t="shared" si="82"/>
        <v>7</v>
      </c>
      <c r="AK80" s="62"/>
      <c r="AL80" s="143"/>
      <c r="AM80" s="13">
        <f t="shared" si="83"/>
        <v>7</v>
      </c>
      <c r="AN80" s="62"/>
      <c r="AO80" s="143"/>
      <c r="AP80" s="13">
        <f t="shared" si="84"/>
        <v>7</v>
      </c>
      <c r="AQ80" s="61"/>
      <c r="AR80" s="143"/>
      <c r="AS80" s="13">
        <f t="shared" si="85"/>
        <v>7</v>
      </c>
      <c r="AT80" s="62"/>
      <c r="AU80" s="143"/>
      <c r="AV80" s="13">
        <f t="shared" si="86"/>
        <v>7</v>
      </c>
      <c r="AW80" s="62"/>
      <c r="AX80" s="143"/>
      <c r="AY80" s="13">
        <f t="shared" si="87"/>
        <v>7</v>
      </c>
      <c r="AZ80" s="62"/>
      <c r="BA80" s="143"/>
      <c r="BB80" s="13">
        <f t="shared" si="88"/>
        <v>7</v>
      </c>
      <c r="BC80" s="62"/>
      <c r="BD80" s="143">
        <f>4+2</f>
        <v>6</v>
      </c>
      <c r="BE80" s="13">
        <f t="shared" si="89"/>
        <v>1</v>
      </c>
      <c r="BF80" s="62"/>
      <c r="BG80" s="143"/>
      <c r="BH80" s="13">
        <f t="shared" si="90"/>
        <v>1</v>
      </c>
      <c r="BI80" s="62"/>
      <c r="BJ80" s="143"/>
      <c r="BK80" s="13">
        <f t="shared" si="91"/>
        <v>1</v>
      </c>
      <c r="BL80" s="62"/>
      <c r="BM80" s="143"/>
      <c r="BN80" s="13">
        <f t="shared" si="92"/>
        <v>1</v>
      </c>
      <c r="BO80" s="62">
        <v>6</v>
      </c>
      <c r="BP80" s="143"/>
      <c r="BQ80" s="13">
        <f t="shared" si="93"/>
        <v>7</v>
      </c>
      <c r="BR80" s="62"/>
      <c r="BS80" s="143"/>
      <c r="BT80" s="13">
        <f t="shared" si="37"/>
        <v>7</v>
      </c>
      <c r="BU80" s="62"/>
      <c r="BV80" s="143"/>
      <c r="BW80" s="13">
        <f t="shared" si="94"/>
        <v>7</v>
      </c>
      <c r="BX80" s="62"/>
      <c r="BY80" s="143">
        <v>4</v>
      </c>
      <c r="BZ80" s="13">
        <f t="shared" si="38"/>
        <v>3</v>
      </c>
      <c r="CA80" s="62"/>
      <c r="CB80" s="143"/>
      <c r="CC80" s="13">
        <f t="shared" si="39"/>
        <v>3</v>
      </c>
      <c r="CD80" s="62"/>
      <c r="CE80" s="143"/>
      <c r="CF80" s="13">
        <f t="shared" si="40"/>
        <v>3</v>
      </c>
      <c r="CG80" s="62"/>
      <c r="CH80" s="143"/>
      <c r="CI80" s="13">
        <f t="shared" si="46"/>
        <v>3</v>
      </c>
      <c r="CJ80" s="62"/>
      <c r="CK80" s="143"/>
      <c r="CL80" s="13">
        <f t="shared" si="47"/>
        <v>3</v>
      </c>
      <c r="CM80" s="62"/>
      <c r="CN80" s="143"/>
      <c r="CO80" s="13">
        <f t="shared" si="41"/>
        <v>3</v>
      </c>
      <c r="CP80" s="62"/>
      <c r="CQ80" s="143"/>
      <c r="CR80" s="13">
        <f t="shared" si="48"/>
        <v>3</v>
      </c>
      <c r="CS80" s="62"/>
      <c r="CT80" s="143">
        <v>3</v>
      </c>
      <c r="CU80" s="14">
        <f t="shared" si="42"/>
        <v>0</v>
      </c>
      <c r="CV80" s="5">
        <f t="shared" si="43"/>
        <v>6</v>
      </c>
      <c r="CW80" s="4">
        <f t="shared" si="43"/>
        <v>24</v>
      </c>
      <c r="CX80" s="6">
        <f t="shared" si="95"/>
        <v>0</v>
      </c>
      <c r="CY80" s="162">
        <v>3050</v>
      </c>
      <c r="CZ80" s="171">
        <f t="shared" si="45"/>
        <v>0</v>
      </c>
      <c r="DB80" s="2">
        <f t="shared" si="49"/>
        <v>0</v>
      </c>
      <c r="DC80" s="62"/>
      <c r="DD80" s="143"/>
      <c r="DE80" s="149">
        <f t="shared" si="50"/>
        <v>0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45</v>
      </c>
      <c r="G81" s="62"/>
      <c r="H81" s="143"/>
      <c r="I81" s="13">
        <f t="shared" si="73"/>
        <v>45</v>
      </c>
      <c r="J81" s="62"/>
      <c r="K81" s="143">
        <v>1</v>
      </c>
      <c r="L81" s="13">
        <f t="shared" si="74"/>
        <v>44</v>
      </c>
      <c r="M81" s="62"/>
      <c r="N81" s="143">
        <v>5</v>
      </c>
      <c r="O81" s="13">
        <f t="shared" si="75"/>
        <v>39</v>
      </c>
      <c r="P81" s="62"/>
      <c r="Q81" s="143">
        <v>4</v>
      </c>
      <c r="R81" s="13">
        <f t="shared" si="76"/>
        <v>35</v>
      </c>
      <c r="S81" s="62"/>
      <c r="T81" s="143"/>
      <c r="U81" s="13">
        <f t="shared" si="77"/>
        <v>35</v>
      </c>
      <c r="V81" s="62"/>
      <c r="W81" s="143">
        <v>3</v>
      </c>
      <c r="X81" s="13">
        <f t="shared" si="78"/>
        <v>32</v>
      </c>
      <c r="Y81" s="62"/>
      <c r="Z81" s="143">
        <v>5</v>
      </c>
      <c r="AA81" s="13">
        <f t="shared" si="79"/>
        <v>27</v>
      </c>
      <c r="AB81" s="62"/>
      <c r="AC81" s="143"/>
      <c r="AD81" s="13">
        <f t="shared" si="80"/>
        <v>27</v>
      </c>
      <c r="AE81" s="62">
        <v>29</v>
      </c>
      <c r="AF81" s="143">
        <v>2</v>
      </c>
      <c r="AG81" s="13">
        <f t="shared" si="81"/>
        <v>54</v>
      </c>
      <c r="AH81" s="62"/>
      <c r="AI81" s="143">
        <v>8</v>
      </c>
      <c r="AJ81" s="13">
        <f t="shared" si="82"/>
        <v>46</v>
      </c>
      <c r="AK81" s="62"/>
      <c r="AL81" s="143">
        <v>13</v>
      </c>
      <c r="AM81" s="13">
        <f t="shared" si="83"/>
        <v>33</v>
      </c>
      <c r="AN81" s="62"/>
      <c r="AO81" s="143"/>
      <c r="AP81" s="13">
        <f t="shared" si="84"/>
        <v>33</v>
      </c>
      <c r="AQ81" s="62"/>
      <c r="AR81" s="143">
        <v>7</v>
      </c>
      <c r="AS81" s="13">
        <f t="shared" si="85"/>
        <v>26</v>
      </c>
      <c r="AT81" s="62"/>
      <c r="AU81" s="143">
        <v>12</v>
      </c>
      <c r="AV81" s="13">
        <f t="shared" si="86"/>
        <v>14</v>
      </c>
      <c r="AW81" s="62"/>
      <c r="AX81" s="143"/>
      <c r="AY81" s="13">
        <f t="shared" si="87"/>
        <v>14</v>
      </c>
      <c r="AZ81" s="62">
        <v>56</v>
      </c>
      <c r="BA81" s="143">
        <v>5</v>
      </c>
      <c r="BB81" s="13">
        <f t="shared" si="88"/>
        <v>65</v>
      </c>
      <c r="BC81" s="62"/>
      <c r="BD81" s="143">
        <v>7</v>
      </c>
      <c r="BE81" s="13">
        <f t="shared" si="89"/>
        <v>58</v>
      </c>
      <c r="BF81" s="62"/>
      <c r="BG81" s="143">
        <v>6</v>
      </c>
      <c r="BH81" s="13">
        <f t="shared" si="90"/>
        <v>52</v>
      </c>
      <c r="BI81" s="62"/>
      <c r="BJ81" s="143"/>
      <c r="BK81" s="13">
        <f t="shared" si="91"/>
        <v>52</v>
      </c>
      <c r="BL81" s="62"/>
      <c r="BM81" s="143">
        <v>4</v>
      </c>
      <c r="BN81" s="13">
        <f t="shared" si="92"/>
        <v>48</v>
      </c>
      <c r="BO81" s="62"/>
      <c r="BP81" s="143">
        <v>8</v>
      </c>
      <c r="BQ81" s="13">
        <f t="shared" si="93"/>
        <v>40</v>
      </c>
      <c r="BR81" s="62"/>
      <c r="BS81" s="143"/>
      <c r="BT81" s="13">
        <f t="shared" si="37"/>
        <v>40</v>
      </c>
      <c r="BU81" s="62">
        <v>57</v>
      </c>
      <c r="BV81" s="143">
        <v>6</v>
      </c>
      <c r="BW81" s="13">
        <f t="shared" si="94"/>
        <v>91</v>
      </c>
      <c r="BX81" s="62"/>
      <c r="BY81" s="143">
        <v>4</v>
      </c>
      <c r="BZ81" s="13">
        <f t="shared" si="38"/>
        <v>87</v>
      </c>
      <c r="CA81" s="62"/>
      <c r="CB81" s="143">
        <v>9</v>
      </c>
      <c r="CC81" s="13">
        <f t="shared" si="39"/>
        <v>78</v>
      </c>
      <c r="CD81" s="62"/>
      <c r="CE81" s="143"/>
      <c r="CF81" s="13">
        <f t="shared" si="40"/>
        <v>78</v>
      </c>
      <c r="CG81" s="62"/>
      <c r="CH81" s="143">
        <v>6</v>
      </c>
      <c r="CI81" s="13">
        <f t="shared" si="46"/>
        <v>72</v>
      </c>
      <c r="CJ81" s="62"/>
      <c r="CK81" s="143">
        <v>5</v>
      </c>
      <c r="CL81" s="13">
        <f t="shared" si="47"/>
        <v>67</v>
      </c>
      <c r="CM81" s="62"/>
      <c r="CN81" s="143"/>
      <c r="CO81" s="13">
        <f t="shared" si="41"/>
        <v>67</v>
      </c>
      <c r="CP81" s="62">
        <v>28</v>
      </c>
      <c r="CQ81" s="143">
        <v>6</v>
      </c>
      <c r="CR81" s="13">
        <f t="shared" si="48"/>
        <v>89</v>
      </c>
      <c r="CS81" s="62"/>
      <c r="CT81" s="143">
        <v>2</v>
      </c>
      <c r="CU81" s="14">
        <f t="shared" si="42"/>
        <v>87</v>
      </c>
      <c r="CV81" s="5">
        <f t="shared" si="43"/>
        <v>170</v>
      </c>
      <c r="CW81" s="4">
        <f t="shared" si="43"/>
        <v>128</v>
      </c>
      <c r="CX81" s="6">
        <f t="shared" si="95"/>
        <v>87</v>
      </c>
      <c r="CY81" s="162"/>
      <c r="CZ81" s="171">
        <f t="shared" si="45"/>
        <v>0</v>
      </c>
      <c r="DB81" s="2">
        <f t="shared" si="49"/>
        <v>87</v>
      </c>
      <c r="DC81" s="62"/>
      <c r="DD81" s="143"/>
      <c r="DE81" s="149">
        <f t="shared" si="50"/>
        <v>87</v>
      </c>
    </row>
    <row r="82" spans="1:109" ht="15.75" customHeight="1">
      <c r="A82" s="33"/>
      <c r="B82" s="42" t="s">
        <v>326</v>
      </c>
      <c r="C82" s="112" t="s">
        <v>51</v>
      </c>
      <c r="D82" s="43"/>
      <c r="E82" s="34">
        <v>10</v>
      </c>
      <c r="F82" s="14"/>
      <c r="G82" s="62"/>
      <c r="H82" s="143"/>
      <c r="I82" s="13"/>
      <c r="J82" s="62"/>
      <c r="K82" s="143"/>
      <c r="L82" s="13"/>
      <c r="M82" s="62"/>
      <c r="N82" s="143"/>
      <c r="O82" s="13"/>
      <c r="P82" s="62"/>
      <c r="Q82" s="143"/>
      <c r="R82" s="13"/>
      <c r="S82" s="62"/>
      <c r="T82" s="143"/>
      <c r="U82" s="13"/>
      <c r="V82" s="62"/>
      <c r="W82" s="143"/>
      <c r="X82" s="13"/>
      <c r="Y82" s="62"/>
      <c r="Z82" s="143"/>
      <c r="AA82" s="13"/>
      <c r="AB82" s="62"/>
      <c r="AC82" s="143"/>
      <c r="AD82" s="13"/>
      <c r="AE82" s="62"/>
      <c r="AF82" s="143"/>
      <c r="AG82" s="13"/>
      <c r="AH82" s="62"/>
      <c r="AI82" s="143"/>
      <c r="AJ82" s="13"/>
      <c r="AK82" s="62"/>
      <c r="AL82" s="143"/>
      <c r="AM82" s="13"/>
      <c r="AN82" s="62"/>
      <c r="AO82" s="143"/>
      <c r="AP82" s="13"/>
      <c r="AQ82" s="62"/>
      <c r="AR82" s="143"/>
      <c r="AS82" s="13"/>
      <c r="AT82" s="62">
        <v>20</v>
      </c>
      <c r="AU82" s="143"/>
      <c r="AV82" s="13">
        <f t="shared" si="86"/>
        <v>20</v>
      </c>
      <c r="AW82" s="62"/>
      <c r="AX82" s="143"/>
      <c r="AY82" s="13">
        <f t="shared" ref="AY82" si="96">AV82+AW82-AX82</f>
        <v>20</v>
      </c>
      <c r="AZ82" s="62">
        <v>20</v>
      </c>
      <c r="BA82" s="143">
        <v>6</v>
      </c>
      <c r="BB82" s="13">
        <f t="shared" ref="BB82" si="97">AY82+AZ82-BA82</f>
        <v>34</v>
      </c>
      <c r="BC82" s="62"/>
      <c r="BD82" s="143">
        <v>3</v>
      </c>
      <c r="BE82" s="13">
        <f t="shared" ref="BE82" si="98">BB82+BC82-BD82</f>
        <v>31</v>
      </c>
      <c r="BF82" s="62"/>
      <c r="BG82" s="143">
        <v>1</v>
      </c>
      <c r="BH82" s="13">
        <f t="shared" ref="BH82" si="99">BE82+BF82-BG82</f>
        <v>30</v>
      </c>
      <c r="BI82" s="62"/>
      <c r="BJ82" s="143"/>
      <c r="BK82" s="13">
        <f t="shared" ref="BK82" si="100">BH82+BI82-BJ82</f>
        <v>30</v>
      </c>
      <c r="BL82" s="62">
        <v>10</v>
      </c>
      <c r="BM82" s="143">
        <v>2</v>
      </c>
      <c r="BN82" s="13">
        <f t="shared" ref="BN82" si="101">BK82+BL82-BM82</f>
        <v>38</v>
      </c>
      <c r="BO82" s="62"/>
      <c r="BP82" s="143"/>
      <c r="BQ82" s="13">
        <f t="shared" ref="BQ82" si="102">BN82+BO82-BP82</f>
        <v>38</v>
      </c>
      <c r="BR82" s="62"/>
      <c r="BS82" s="143"/>
      <c r="BT82" s="13">
        <f t="shared" ref="BT82" si="103">BQ82+BR82-BS82</f>
        <v>38</v>
      </c>
      <c r="BU82" s="62"/>
      <c r="BV82" s="143">
        <v>1</v>
      </c>
      <c r="BW82" s="13">
        <f t="shared" ref="BW82" si="104">BT82+BU82-BV82</f>
        <v>37</v>
      </c>
      <c r="BX82" s="62"/>
      <c r="BY82" s="143">
        <v>1</v>
      </c>
      <c r="BZ82" s="13">
        <f t="shared" ref="BZ82" si="105">BW82+BX82-BY82</f>
        <v>36</v>
      </c>
      <c r="CA82" s="62"/>
      <c r="CB82" s="143">
        <v>5</v>
      </c>
      <c r="CC82" s="13">
        <f t="shared" ref="CC82" si="106">BZ82+CA82-CB82</f>
        <v>31</v>
      </c>
      <c r="CD82" s="62"/>
      <c r="CE82" s="143"/>
      <c r="CF82" s="13">
        <f t="shared" ref="CF82" si="107">CC82+CD82-CE82</f>
        <v>31</v>
      </c>
      <c r="CG82" s="62"/>
      <c r="CH82" s="143">
        <v>2</v>
      </c>
      <c r="CI82" s="13">
        <f t="shared" ref="CI82" si="108">CF82+CG82-CH82</f>
        <v>29</v>
      </c>
      <c r="CJ82" s="62"/>
      <c r="CK82" s="143">
        <v>4</v>
      </c>
      <c r="CL82" s="13">
        <f t="shared" ref="CL82" si="109">CI82+CJ82-CK82</f>
        <v>25</v>
      </c>
      <c r="CM82" s="62"/>
      <c r="CN82" s="143"/>
      <c r="CO82" s="13">
        <f t="shared" ref="CO82" si="110">CL82+CM82-CN82</f>
        <v>25</v>
      </c>
      <c r="CP82" s="62"/>
      <c r="CQ82" s="143">
        <v>1</v>
      </c>
      <c r="CR82" s="13">
        <f t="shared" ref="CR82" si="111">CO82+CP82-CQ82</f>
        <v>24</v>
      </c>
      <c r="CS82" s="62"/>
      <c r="CT82" s="143">
        <v>1</v>
      </c>
      <c r="CU82" s="14">
        <f t="shared" ref="CU82" si="112">CR82+CS82-CT82</f>
        <v>23</v>
      </c>
      <c r="CV82" s="5">
        <f t="shared" ref="CV82" si="113">G82+J82+M82+P82+S82+V82+Y82+AB82+AE82+AH82+AK82+AN82+AQ82+AT82+AW82+AZ82+BC82+BF82+BI82+BL82+BO82+BR82+BU82+BX82+CA82+CD82+CG82+CJ82+CM82+CP82+CS82</f>
        <v>50</v>
      </c>
      <c r="CW82" s="4">
        <f t="shared" ref="CW82" si="114">H82+K82+N82+Q82+T82+W82+Z82+AC82+AF82+AI82+AL82+AO82+AR82+AU82+AX82+BA82+BD82+BG82+BJ82+BM82+BP82+BS82+BV82+BY82+CB82+CE82+CH82+CK82+CN82+CQ82+CT82</f>
        <v>27</v>
      </c>
      <c r="CX82" s="6">
        <f t="shared" ref="CX82" si="115">CU82</f>
        <v>23</v>
      </c>
      <c r="CY82" s="163"/>
      <c r="CZ82" s="171">
        <f t="shared" si="45"/>
        <v>0</v>
      </c>
      <c r="DB82" s="2">
        <f t="shared" si="49"/>
        <v>23</v>
      </c>
      <c r="DC82" s="62"/>
      <c r="DD82" s="143"/>
      <c r="DE82" s="149">
        <f t="shared" si="50"/>
        <v>23</v>
      </c>
    </row>
    <row r="83" spans="1:109" ht="15.75" customHeight="1">
      <c r="A83" s="33" t="s">
        <v>120</v>
      </c>
      <c r="B83" s="49" t="s">
        <v>121</v>
      </c>
      <c r="C83" s="111" t="s">
        <v>27</v>
      </c>
      <c r="D83" s="52">
        <v>18</v>
      </c>
      <c r="E83" s="53" t="s">
        <v>122</v>
      </c>
      <c r="F83" s="14">
        <v>5</v>
      </c>
      <c r="G83" s="62"/>
      <c r="H83" s="143"/>
      <c r="I83" s="13">
        <f t="shared" si="73"/>
        <v>5</v>
      </c>
      <c r="J83" s="62">
        <v>6</v>
      </c>
      <c r="K83" s="143">
        <f>1+2</f>
        <v>3</v>
      </c>
      <c r="L83" s="13">
        <f t="shared" si="74"/>
        <v>8</v>
      </c>
      <c r="M83" s="62"/>
      <c r="N83" s="143">
        <v>3</v>
      </c>
      <c r="O83" s="13">
        <f t="shared" si="75"/>
        <v>5</v>
      </c>
      <c r="P83" s="62"/>
      <c r="Q83" s="143">
        <v>3</v>
      </c>
      <c r="R83" s="30">
        <f t="shared" si="76"/>
        <v>2</v>
      </c>
      <c r="S83" s="62"/>
      <c r="T83" s="143"/>
      <c r="U83" s="13">
        <f t="shared" si="77"/>
        <v>2</v>
      </c>
      <c r="V83" s="62">
        <v>12</v>
      </c>
      <c r="W83" s="143">
        <v>2</v>
      </c>
      <c r="X83" s="13">
        <f t="shared" si="78"/>
        <v>12</v>
      </c>
      <c r="Y83" s="62"/>
      <c r="Z83" s="143">
        <v>2</v>
      </c>
      <c r="AA83" s="13">
        <f t="shared" si="79"/>
        <v>10</v>
      </c>
      <c r="AB83" s="62"/>
      <c r="AC83" s="143"/>
      <c r="AD83" s="13">
        <f t="shared" si="80"/>
        <v>10</v>
      </c>
      <c r="AE83" s="62"/>
      <c r="AF83" s="143"/>
      <c r="AG83" s="13">
        <f t="shared" si="81"/>
        <v>10</v>
      </c>
      <c r="AH83" s="62">
        <v>6</v>
      </c>
      <c r="AI83" s="143">
        <v>4</v>
      </c>
      <c r="AJ83" s="13">
        <f t="shared" si="82"/>
        <v>12</v>
      </c>
      <c r="AK83" s="62"/>
      <c r="AL83" s="143"/>
      <c r="AM83" s="13">
        <f t="shared" si="83"/>
        <v>12</v>
      </c>
      <c r="AN83" s="62"/>
      <c r="AO83" s="143"/>
      <c r="AP83" s="13">
        <f t="shared" si="84"/>
        <v>12</v>
      </c>
      <c r="AQ83" s="62"/>
      <c r="AR83" s="143">
        <v>2</v>
      </c>
      <c r="AS83" s="13">
        <f t="shared" si="85"/>
        <v>10</v>
      </c>
      <c r="AT83" s="62"/>
      <c r="AU83" s="143">
        <f>1+4</f>
        <v>5</v>
      </c>
      <c r="AV83" s="13">
        <f t="shared" si="86"/>
        <v>5</v>
      </c>
      <c r="AW83" s="62"/>
      <c r="AX83" s="143"/>
      <c r="AY83" s="13">
        <f t="shared" si="87"/>
        <v>5</v>
      </c>
      <c r="AZ83" s="62"/>
      <c r="BA83" s="143"/>
      <c r="BB83" s="13">
        <f t="shared" si="88"/>
        <v>5</v>
      </c>
      <c r="BC83" s="62">
        <v>6</v>
      </c>
      <c r="BD83" s="143">
        <v>1</v>
      </c>
      <c r="BE83" s="13">
        <f t="shared" si="89"/>
        <v>10</v>
      </c>
      <c r="BF83" s="62"/>
      <c r="BG83" s="143">
        <v>3</v>
      </c>
      <c r="BH83" s="13">
        <f t="shared" si="90"/>
        <v>7</v>
      </c>
      <c r="BI83" s="62"/>
      <c r="BJ83" s="143"/>
      <c r="BK83" s="13">
        <f t="shared" si="91"/>
        <v>7</v>
      </c>
      <c r="BL83" s="62">
        <v>6</v>
      </c>
      <c r="BM83" s="143">
        <v>1</v>
      </c>
      <c r="BN83" s="13">
        <f t="shared" si="92"/>
        <v>12</v>
      </c>
      <c r="BO83" s="62"/>
      <c r="BP83" s="143">
        <v>4</v>
      </c>
      <c r="BQ83" s="13">
        <f t="shared" si="93"/>
        <v>8</v>
      </c>
      <c r="BR83" s="62"/>
      <c r="BS83" s="143"/>
      <c r="BT83" s="13">
        <f t="shared" si="37"/>
        <v>8</v>
      </c>
      <c r="BU83" s="62">
        <v>6</v>
      </c>
      <c r="BV83" s="143">
        <v>1</v>
      </c>
      <c r="BW83" s="13">
        <f t="shared" si="94"/>
        <v>13</v>
      </c>
      <c r="BX83" s="62"/>
      <c r="BY83" s="143">
        <f>1+1</f>
        <v>2</v>
      </c>
      <c r="BZ83" s="13">
        <f t="shared" si="38"/>
        <v>11</v>
      </c>
      <c r="CA83" s="62"/>
      <c r="CB83" s="143">
        <f>1</f>
        <v>1</v>
      </c>
      <c r="CC83" s="13">
        <f t="shared" si="39"/>
        <v>10</v>
      </c>
      <c r="CD83" s="62"/>
      <c r="CE83" s="143"/>
      <c r="CF83" s="13">
        <f t="shared" si="40"/>
        <v>10</v>
      </c>
      <c r="CG83" s="62"/>
      <c r="CH83" s="143">
        <v>2</v>
      </c>
      <c r="CI83" s="13">
        <f t="shared" si="46"/>
        <v>8</v>
      </c>
      <c r="CJ83" s="62"/>
      <c r="CK83" s="143">
        <f>1+1</f>
        <v>2</v>
      </c>
      <c r="CL83" s="13">
        <f t="shared" si="47"/>
        <v>6</v>
      </c>
      <c r="CM83" s="62"/>
      <c r="CN83" s="143"/>
      <c r="CO83" s="13">
        <f t="shared" si="41"/>
        <v>6</v>
      </c>
      <c r="CP83" s="62">
        <v>6</v>
      </c>
      <c r="CQ83" s="143">
        <v>3</v>
      </c>
      <c r="CR83" s="13">
        <f t="shared" si="48"/>
        <v>9</v>
      </c>
      <c r="CS83" s="62"/>
      <c r="CT83" s="143">
        <v>3</v>
      </c>
      <c r="CU83" s="14">
        <f t="shared" si="42"/>
        <v>6</v>
      </c>
      <c r="CV83" s="129">
        <f t="shared" si="43"/>
        <v>48</v>
      </c>
      <c r="CW83" s="130">
        <f t="shared" si="43"/>
        <v>47</v>
      </c>
      <c r="CX83" s="131">
        <f t="shared" si="95"/>
        <v>6</v>
      </c>
      <c r="CY83" s="163">
        <v>0</v>
      </c>
      <c r="CZ83" s="172">
        <f t="shared" si="45"/>
        <v>0</v>
      </c>
      <c r="DB83" s="2">
        <f t="shared" si="49"/>
        <v>6</v>
      </c>
      <c r="DC83" s="62"/>
      <c r="DD83" s="143"/>
      <c r="DE83" s="149">
        <f t="shared" si="50"/>
        <v>6</v>
      </c>
    </row>
    <row r="84" spans="1:109" ht="15.75" customHeight="1">
      <c r="A84" s="33" t="s">
        <v>123</v>
      </c>
      <c r="B84" s="49" t="s">
        <v>124</v>
      </c>
      <c r="C84" s="111" t="s">
        <v>27</v>
      </c>
      <c r="D84" s="52">
        <v>168</v>
      </c>
      <c r="E84" s="53" t="s">
        <v>125</v>
      </c>
      <c r="F84" s="14">
        <v>47</v>
      </c>
      <c r="G84" s="62"/>
      <c r="H84" s="143"/>
      <c r="I84" s="13">
        <f t="shared" si="73"/>
        <v>47</v>
      </c>
      <c r="J84" s="62">
        <v>48</v>
      </c>
      <c r="K84" s="143">
        <f>3+15</f>
        <v>18</v>
      </c>
      <c r="L84" s="13">
        <f t="shared" si="74"/>
        <v>77</v>
      </c>
      <c r="M84" s="62"/>
      <c r="N84" s="143">
        <v>19</v>
      </c>
      <c r="O84" s="13">
        <f t="shared" si="75"/>
        <v>58</v>
      </c>
      <c r="P84" s="62"/>
      <c r="Q84" s="143">
        <v>24</v>
      </c>
      <c r="R84" s="30">
        <f t="shared" si="76"/>
        <v>34</v>
      </c>
      <c r="S84" s="62"/>
      <c r="T84" s="143"/>
      <c r="U84" s="13">
        <f t="shared" si="77"/>
        <v>34</v>
      </c>
      <c r="V84" s="62">
        <v>48</v>
      </c>
      <c r="W84" s="143">
        <f>3+2</f>
        <v>5</v>
      </c>
      <c r="X84" s="13">
        <f>U84+V84-W84</f>
        <v>77</v>
      </c>
      <c r="Y84" s="62"/>
      <c r="Z84" s="143">
        <f>2+20</f>
        <v>22</v>
      </c>
      <c r="AA84" s="13">
        <f t="shared" si="79"/>
        <v>55</v>
      </c>
      <c r="AB84" s="62"/>
      <c r="AC84" s="143"/>
      <c r="AD84" s="13">
        <f t="shared" si="80"/>
        <v>55</v>
      </c>
      <c r="AE84" s="62"/>
      <c r="AF84" s="143">
        <v>14</v>
      </c>
      <c r="AG84" s="13">
        <f t="shared" si="81"/>
        <v>41</v>
      </c>
      <c r="AH84" s="62">
        <v>48</v>
      </c>
      <c r="AI84" s="143">
        <f>2+11</f>
        <v>13</v>
      </c>
      <c r="AJ84" s="13">
        <f t="shared" si="82"/>
        <v>76</v>
      </c>
      <c r="AK84" s="62"/>
      <c r="AL84" s="143">
        <f>2+32</f>
        <v>34</v>
      </c>
      <c r="AM84" s="13">
        <f t="shared" si="83"/>
        <v>42</v>
      </c>
      <c r="AN84" s="62"/>
      <c r="AO84" s="143"/>
      <c r="AP84" s="13">
        <f t="shared" si="84"/>
        <v>42</v>
      </c>
      <c r="AQ84" s="62">
        <v>72</v>
      </c>
      <c r="AR84" s="143">
        <f>3+17</f>
        <v>20</v>
      </c>
      <c r="AS84" s="13">
        <f t="shared" si="85"/>
        <v>94</v>
      </c>
      <c r="AT84" s="62"/>
      <c r="AU84" s="143">
        <f>2+18</f>
        <v>20</v>
      </c>
      <c r="AV84" s="13">
        <f t="shared" si="86"/>
        <v>74</v>
      </c>
      <c r="AW84" s="62"/>
      <c r="AX84" s="143"/>
      <c r="AY84" s="13">
        <f t="shared" si="87"/>
        <v>74</v>
      </c>
      <c r="AZ84" s="62"/>
      <c r="BA84" s="143">
        <f>2+13</f>
        <v>15</v>
      </c>
      <c r="BB84" s="13">
        <f t="shared" si="88"/>
        <v>59</v>
      </c>
      <c r="BC84" s="62">
        <v>12</v>
      </c>
      <c r="BD84" s="143">
        <v>13</v>
      </c>
      <c r="BE84" s="13">
        <f t="shared" si="89"/>
        <v>58</v>
      </c>
      <c r="BF84" s="62"/>
      <c r="BG84" s="143">
        <f>2+36</f>
        <v>38</v>
      </c>
      <c r="BH84" s="13">
        <f t="shared" si="90"/>
        <v>20</v>
      </c>
      <c r="BI84" s="62"/>
      <c r="BJ84" s="143"/>
      <c r="BK84" s="13">
        <f t="shared" si="91"/>
        <v>20</v>
      </c>
      <c r="BL84" s="62">
        <v>72</v>
      </c>
      <c r="BM84" s="143">
        <f>2+18</f>
        <v>20</v>
      </c>
      <c r="BN84" s="13">
        <f t="shared" si="92"/>
        <v>72</v>
      </c>
      <c r="BO84" s="62"/>
      <c r="BP84" s="143">
        <f>2+22</f>
        <v>24</v>
      </c>
      <c r="BQ84" s="13">
        <f t="shared" si="93"/>
        <v>48</v>
      </c>
      <c r="BR84" s="62"/>
      <c r="BS84" s="143"/>
      <c r="BT84" s="13">
        <f t="shared" si="37"/>
        <v>48</v>
      </c>
      <c r="BU84" s="62">
        <v>48</v>
      </c>
      <c r="BV84" s="143">
        <f>3+18</f>
        <v>21</v>
      </c>
      <c r="BW84" s="13">
        <f t="shared" si="94"/>
        <v>75</v>
      </c>
      <c r="BX84" s="62"/>
      <c r="BY84" s="143">
        <f>2+14</f>
        <v>16</v>
      </c>
      <c r="BZ84" s="13">
        <f t="shared" si="38"/>
        <v>59</v>
      </c>
      <c r="CA84" s="62">
        <v>24</v>
      </c>
      <c r="CB84" s="143">
        <f>2+30</f>
        <v>32</v>
      </c>
      <c r="CC84" s="13">
        <f t="shared" si="39"/>
        <v>51</v>
      </c>
      <c r="CD84" s="62"/>
      <c r="CE84" s="143"/>
      <c r="CF84" s="13">
        <f t="shared" si="40"/>
        <v>51</v>
      </c>
      <c r="CG84" s="62">
        <v>24</v>
      </c>
      <c r="CH84" s="143">
        <f>1+21</f>
        <v>22</v>
      </c>
      <c r="CI84" s="13">
        <f t="shared" si="46"/>
        <v>53</v>
      </c>
      <c r="CJ84" s="62"/>
      <c r="CK84" s="143">
        <f>3+27</f>
        <v>30</v>
      </c>
      <c r="CL84" s="13">
        <f t="shared" si="47"/>
        <v>23</v>
      </c>
      <c r="CM84" s="62"/>
      <c r="CN84" s="143"/>
      <c r="CO84" s="13">
        <f t="shared" si="41"/>
        <v>23</v>
      </c>
      <c r="CP84" s="62">
        <v>60</v>
      </c>
      <c r="CQ84" s="143">
        <f>2+14</f>
        <v>16</v>
      </c>
      <c r="CR84" s="13">
        <f t="shared" si="48"/>
        <v>67</v>
      </c>
      <c r="CS84" s="62"/>
      <c r="CT84" s="143">
        <f>3+18</f>
        <v>21</v>
      </c>
      <c r="CU84" s="14">
        <f t="shared" si="42"/>
        <v>46</v>
      </c>
      <c r="CV84" s="5">
        <f>G84+J84+M84+P84+S84+V84+Y84+AB84+AE84+AH84+AK84+AN84+AQ84+AT84+AW84+AZ84+BC84+BF84+BI84+BL84+BO84+BR84+BU84+BX84+CA84+CD84+CG84+CJ84+CM84+CP84+CS84</f>
        <v>456</v>
      </c>
      <c r="CW84" s="4">
        <f>H84+K84+N84+Q84+T84+W84+Z84+AC84+AF84+AI84+AL84+AO84+AR84+AU84+AX84+BA84+BD84+BG84+BJ84+BM84+BP84+BS84+BV84+BY84+CB84+CE84+CH84+CK84+CN84+CQ84+CT84</f>
        <v>457</v>
      </c>
      <c r="CX84" s="6">
        <f t="shared" si="95"/>
        <v>46</v>
      </c>
      <c r="CY84" s="164">
        <v>0</v>
      </c>
      <c r="CZ84" s="171">
        <f t="shared" si="45"/>
        <v>0</v>
      </c>
      <c r="DB84" s="2">
        <f t="shared" si="49"/>
        <v>46</v>
      </c>
      <c r="DC84" s="62"/>
      <c r="DD84" s="143"/>
      <c r="DE84" s="149">
        <f t="shared" si="50"/>
        <v>46</v>
      </c>
    </row>
    <row r="85" spans="1:109" ht="16.2">
      <c r="A85" s="135" t="s">
        <v>200</v>
      </c>
      <c r="B85" s="3" t="s">
        <v>254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7.25" customHeight="1">
      <c r="A86" s="135" t="s">
        <v>261</v>
      </c>
      <c r="B86" s="3" t="s">
        <v>262</v>
      </c>
      <c r="C86" s="104" t="s">
        <v>27</v>
      </c>
      <c r="D86" s="34">
        <v>15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 t="shared" si="38"/>
        <v>0</v>
      </c>
      <c r="CA86" s="143"/>
      <c r="CB86" s="143"/>
      <c r="CC86" s="13">
        <f t="shared" si="39"/>
        <v>0</v>
      </c>
      <c r="CD86" s="143"/>
      <c r="CE86" s="143"/>
      <c r="CF86" s="13">
        <f t="shared" si="40"/>
        <v>0</v>
      </c>
      <c r="CG86" s="143"/>
      <c r="CH86" s="143"/>
      <c r="CI86" s="13">
        <f t="shared" si="46"/>
        <v>0</v>
      </c>
      <c r="CJ86" s="143"/>
      <c r="CK86" s="143"/>
      <c r="CL86" s="13">
        <f t="shared" si="47"/>
        <v>0</v>
      </c>
      <c r="CM86" s="143"/>
      <c r="CN86" s="143"/>
      <c r="CO86" s="13">
        <f t="shared" si="41"/>
        <v>0</v>
      </c>
      <c r="CP86" s="143"/>
      <c r="CQ86" s="143"/>
      <c r="CR86" s="13">
        <f t="shared" si="48"/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5" customHeight="1">
      <c r="A87" s="33" t="s">
        <v>201</v>
      </c>
      <c r="B87" s="3" t="s">
        <v>190</v>
      </c>
      <c r="C87" s="104" t="s">
        <v>27</v>
      </c>
      <c r="D87" s="34">
        <v>60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191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>BW88+BX88-BY88</f>
        <v>0</v>
      </c>
      <c r="CA88" s="143"/>
      <c r="CB88" s="143"/>
      <c r="CC88" s="13">
        <f>BZ88+CA88-CB88</f>
        <v>0</v>
      </c>
      <c r="CD88" s="143"/>
      <c r="CE88" s="143"/>
      <c r="CF88" s="13">
        <f>CC88+CD88-CE88</f>
        <v>0</v>
      </c>
      <c r="CG88" s="143"/>
      <c r="CH88" s="143"/>
      <c r="CI88" s="13">
        <f>CF88+CG88-CH88</f>
        <v>0</v>
      </c>
      <c r="CJ88" s="143"/>
      <c r="CK88" s="143"/>
      <c r="CL88" s="13">
        <f>CI88+CJ88-CK88</f>
        <v>0</v>
      </c>
      <c r="CM88" s="143"/>
      <c r="CN88" s="143"/>
      <c r="CO88" s="13">
        <f>CL88+CM88-CN88</f>
        <v>0</v>
      </c>
      <c r="CP88" s="143"/>
      <c r="CQ88" s="143"/>
      <c r="CR88" s="13">
        <f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6.2">
      <c r="A89" s="33" t="s">
        <v>201</v>
      </c>
      <c r="B89" s="3" t="s">
        <v>258</v>
      </c>
      <c r="C89" s="104" t="s">
        <v>27</v>
      </c>
      <c r="D89" s="34">
        <v>40</v>
      </c>
      <c r="E89" s="9" t="s">
        <v>260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 t="shared" ref="BZ89" si="116">BW89+BX89-BY89</f>
        <v>0</v>
      </c>
      <c r="CA89" s="143"/>
      <c r="CB89" s="143"/>
      <c r="CC89" s="13">
        <f t="shared" ref="CC89" si="117">BZ89+CA89-CB89</f>
        <v>0</v>
      </c>
      <c r="CD89" s="143"/>
      <c r="CE89" s="143"/>
      <c r="CF89" s="13">
        <f t="shared" ref="CF89" si="118">CC89+CD89-CE89</f>
        <v>0</v>
      </c>
      <c r="CG89" s="143"/>
      <c r="CH89" s="143"/>
      <c r="CI89" s="13">
        <f t="shared" ref="CI89" si="119">CF89+CG89-CH89</f>
        <v>0</v>
      </c>
      <c r="CJ89" s="143"/>
      <c r="CK89" s="143"/>
      <c r="CL89" s="13">
        <f t="shared" ref="CL89" si="120">CI89+CJ89-CK89</f>
        <v>0</v>
      </c>
      <c r="CM89" s="143"/>
      <c r="CN89" s="143"/>
      <c r="CO89" s="13">
        <f t="shared" ref="CO89" si="121">CL89+CM89-CN89</f>
        <v>0</v>
      </c>
      <c r="CP89" s="143"/>
      <c r="CQ89" s="143"/>
      <c r="CR89" s="13">
        <f t="shared" ref="CR89" si="122"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787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210</v>
      </c>
      <c r="C90" s="104" t="s">
        <v>27</v>
      </c>
      <c r="D90" s="34">
        <v>40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>BW90+BX90-BY90</f>
        <v>0</v>
      </c>
      <c r="CA90" s="143"/>
      <c r="CB90" s="143"/>
      <c r="CC90" s="13">
        <f>BZ90+CA90-CB90</f>
        <v>0</v>
      </c>
      <c r="CD90" s="143"/>
      <c r="CE90" s="143"/>
      <c r="CF90" s="13">
        <f>CC90+CD90-CE90</f>
        <v>0</v>
      </c>
      <c r="CG90" s="143"/>
      <c r="CH90" s="143"/>
      <c r="CI90" s="13">
        <f>CF90+CG90-CH90</f>
        <v>0</v>
      </c>
      <c r="CJ90" s="143"/>
      <c r="CK90" s="143"/>
      <c r="CL90" s="13">
        <f>CI90+CJ90-CK90</f>
        <v>0</v>
      </c>
      <c r="CM90" s="143"/>
      <c r="CN90" s="143"/>
      <c r="CO90" s="13">
        <f>CL90+CM90-CN90</f>
        <v>0</v>
      </c>
      <c r="CP90" s="143"/>
      <c r="CQ90" s="143"/>
      <c r="CR90" s="13">
        <f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211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ref="BZ91:BZ94" si="123">BW91+BX91-BY91</f>
        <v>0</v>
      </c>
      <c r="CA91" s="143"/>
      <c r="CB91" s="143"/>
      <c r="CC91" s="13">
        <f t="shared" ref="CC91:CC94" si="124">BZ91+CA91-CB91</f>
        <v>0</v>
      </c>
      <c r="CD91" s="143"/>
      <c r="CE91" s="143"/>
      <c r="CF91" s="13">
        <f t="shared" ref="CF91:CF94" si="125">CC91+CD91-CE91</f>
        <v>0</v>
      </c>
      <c r="CG91" s="143"/>
      <c r="CH91" s="143"/>
      <c r="CI91" s="13">
        <f t="shared" ref="CI91:CI94" si="126">CF91+CG91-CH91</f>
        <v>0</v>
      </c>
      <c r="CJ91" s="143"/>
      <c r="CK91" s="143"/>
      <c r="CL91" s="13">
        <f t="shared" ref="CL91:CL94" si="127">CI91+CJ91-CK91</f>
        <v>0</v>
      </c>
      <c r="CM91" s="143"/>
      <c r="CN91" s="143"/>
      <c r="CO91" s="13">
        <f t="shared" ref="CO91:CO94" si="128">CL91+CM91-CN91</f>
        <v>0</v>
      </c>
      <c r="CP91" s="143"/>
      <c r="CQ91" s="143"/>
      <c r="CR91" s="13">
        <f t="shared" ref="CR91:CR94" si="129">CO91+CP91-CQ91</f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7.25" hidden="1" customHeight="1">
      <c r="A92" s="135" t="s">
        <v>209</v>
      </c>
      <c r="B92" s="3" t="s">
        <v>212</v>
      </c>
      <c r="C92" s="104" t="s">
        <v>27</v>
      </c>
      <c r="D92" s="34">
        <v>20</v>
      </c>
      <c r="E92" s="9" t="s">
        <v>68</v>
      </c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23"/>
        <v>0</v>
      </c>
      <c r="CA92" s="143"/>
      <c r="CB92" s="143"/>
      <c r="CC92" s="13">
        <f t="shared" si="124"/>
        <v>0</v>
      </c>
      <c r="CD92" s="143"/>
      <c r="CE92" s="143"/>
      <c r="CF92" s="13">
        <f t="shared" si="125"/>
        <v>0</v>
      </c>
      <c r="CG92" s="143"/>
      <c r="CH92" s="143"/>
      <c r="CI92" s="13">
        <f t="shared" si="126"/>
        <v>0</v>
      </c>
      <c r="CJ92" s="143"/>
      <c r="CK92" s="143"/>
      <c r="CL92" s="13">
        <f t="shared" si="127"/>
        <v>0</v>
      </c>
      <c r="CM92" s="143"/>
      <c r="CN92" s="143"/>
      <c r="CO92" s="13">
        <f t="shared" si="128"/>
        <v>0</v>
      </c>
      <c r="CP92" s="143"/>
      <c r="CQ92" s="143"/>
      <c r="CR92" s="13">
        <f t="shared" si="12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472</v>
      </c>
      <c r="CZ92" s="171">
        <f t="shared" si="45"/>
        <v>0</v>
      </c>
      <c r="DA92" s="48"/>
      <c r="DB92" s="2">
        <f t="shared" si="49"/>
        <v>0</v>
      </c>
      <c r="DC92" s="62"/>
      <c r="DD92" s="143"/>
      <c r="DE92" s="149">
        <f t="shared" si="50"/>
        <v>0</v>
      </c>
    </row>
    <row r="93" spans="1:109" ht="16.2">
      <c r="A93" s="33"/>
      <c r="B93" s="56"/>
      <c r="C93" s="138"/>
      <c r="D93" s="44"/>
      <c r="E93" s="44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23"/>
        <v>0</v>
      </c>
      <c r="CA93" s="143"/>
      <c r="CB93" s="143"/>
      <c r="CC93" s="13">
        <f t="shared" si="124"/>
        <v>0</v>
      </c>
      <c r="CD93" s="143"/>
      <c r="CE93" s="143"/>
      <c r="CF93" s="13">
        <f t="shared" si="125"/>
        <v>0</v>
      </c>
      <c r="CG93" s="143"/>
      <c r="CH93" s="143"/>
      <c r="CI93" s="13">
        <f t="shared" si="126"/>
        <v>0</v>
      </c>
      <c r="CJ93" s="143"/>
      <c r="CK93" s="143"/>
      <c r="CL93" s="13">
        <f t="shared" si="127"/>
        <v>0</v>
      </c>
      <c r="CM93" s="143"/>
      <c r="CN93" s="143"/>
      <c r="CO93" s="13">
        <f t="shared" si="128"/>
        <v>0</v>
      </c>
      <c r="CP93" s="143"/>
      <c r="CQ93" s="143"/>
      <c r="CR93" s="13">
        <f t="shared" si="129"/>
        <v>0</v>
      </c>
      <c r="CS93" s="143"/>
      <c r="CT93" s="143"/>
      <c r="CU93" s="14">
        <f t="shared" si="42"/>
        <v>0</v>
      </c>
      <c r="CV93" s="5">
        <f t="shared" si="43"/>
        <v>0</v>
      </c>
      <c r="CW93" s="4">
        <f t="shared" si="43"/>
        <v>0</v>
      </c>
      <c r="CX93" s="6">
        <f t="shared" si="95"/>
        <v>0</v>
      </c>
      <c r="CY93" s="165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A94" s="33"/>
      <c r="B94" s="36"/>
      <c r="C94" s="104"/>
      <c r="D94" s="34"/>
      <c r="E94" s="9"/>
      <c r="F94" s="14">
        <v>0</v>
      </c>
      <c r="G94" s="143"/>
      <c r="H94" s="143"/>
      <c r="I94" s="13">
        <f t="shared" si="73"/>
        <v>0</v>
      </c>
      <c r="J94" s="143"/>
      <c r="K94" s="143"/>
      <c r="L94" s="13">
        <f t="shared" si="74"/>
        <v>0</v>
      </c>
      <c r="M94" s="143"/>
      <c r="N94" s="143"/>
      <c r="O94" s="13">
        <f t="shared" si="75"/>
        <v>0</v>
      </c>
      <c r="P94" s="143"/>
      <c r="Q94" s="143"/>
      <c r="R94" s="30">
        <f t="shared" si="76"/>
        <v>0</v>
      </c>
      <c r="S94" s="143"/>
      <c r="T94" s="143"/>
      <c r="U94" s="13">
        <f t="shared" si="77"/>
        <v>0</v>
      </c>
      <c r="V94" s="143"/>
      <c r="W94" s="143"/>
      <c r="X94" s="13">
        <f t="shared" si="78"/>
        <v>0</v>
      </c>
      <c r="Y94" s="143"/>
      <c r="Z94" s="143"/>
      <c r="AA94" s="13">
        <f t="shared" si="57"/>
        <v>0</v>
      </c>
      <c r="AB94" s="143"/>
      <c r="AC94" s="143"/>
      <c r="AD94" s="13">
        <f t="shared" si="80"/>
        <v>0</v>
      </c>
      <c r="AE94" s="143"/>
      <c r="AF94" s="143"/>
      <c r="AG94" s="13">
        <f t="shared" si="81"/>
        <v>0</v>
      </c>
      <c r="AH94" s="143"/>
      <c r="AI94" s="143"/>
      <c r="AJ94" s="13">
        <f t="shared" si="82"/>
        <v>0</v>
      </c>
      <c r="AK94" s="143"/>
      <c r="AL94" s="143"/>
      <c r="AM94" s="13">
        <f t="shared" si="83"/>
        <v>0</v>
      </c>
      <c r="AN94" s="143"/>
      <c r="AO94" s="143"/>
      <c r="AP94" s="13">
        <f t="shared" si="84"/>
        <v>0</v>
      </c>
      <c r="AQ94" s="143"/>
      <c r="AR94" s="143"/>
      <c r="AS94" s="13">
        <f t="shared" si="85"/>
        <v>0</v>
      </c>
      <c r="AT94" s="143"/>
      <c r="AU94" s="143"/>
      <c r="AV94" s="13">
        <f t="shared" si="86"/>
        <v>0</v>
      </c>
      <c r="AW94" s="143"/>
      <c r="AX94" s="143"/>
      <c r="AY94" s="13">
        <f t="shared" si="87"/>
        <v>0</v>
      </c>
      <c r="AZ94" s="143"/>
      <c r="BA94" s="143"/>
      <c r="BB94" s="13">
        <f t="shared" si="88"/>
        <v>0</v>
      </c>
      <c r="BC94" s="143"/>
      <c r="BD94" s="143"/>
      <c r="BE94" s="13">
        <f t="shared" si="89"/>
        <v>0</v>
      </c>
      <c r="BF94" s="143"/>
      <c r="BG94" s="143"/>
      <c r="BH94" s="13">
        <f t="shared" si="90"/>
        <v>0</v>
      </c>
      <c r="BI94" s="143"/>
      <c r="BJ94" s="143"/>
      <c r="BK94" s="13">
        <f t="shared" si="91"/>
        <v>0</v>
      </c>
      <c r="BL94" s="143"/>
      <c r="BM94" s="143"/>
      <c r="BN94" s="13">
        <f t="shared" si="92"/>
        <v>0</v>
      </c>
      <c r="BO94" s="143"/>
      <c r="BP94" s="143"/>
      <c r="BQ94" s="13">
        <f t="shared" si="93"/>
        <v>0</v>
      </c>
      <c r="BR94" s="143"/>
      <c r="BS94" s="143"/>
      <c r="BT94" s="13">
        <f t="shared" si="37"/>
        <v>0</v>
      </c>
      <c r="BU94" s="143"/>
      <c r="BV94" s="143"/>
      <c r="BW94" s="13">
        <f t="shared" si="94"/>
        <v>0</v>
      </c>
      <c r="BX94" s="143"/>
      <c r="BY94" s="143"/>
      <c r="BZ94" s="13">
        <f t="shared" si="123"/>
        <v>0</v>
      </c>
      <c r="CA94" s="143"/>
      <c r="CB94" s="143"/>
      <c r="CC94" s="13">
        <f t="shared" si="124"/>
        <v>0</v>
      </c>
      <c r="CD94" s="143"/>
      <c r="CE94" s="143"/>
      <c r="CF94" s="13">
        <f t="shared" si="125"/>
        <v>0</v>
      </c>
      <c r="CG94" s="143"/>
      <c r="CH94" s="143"/>
      <c r="CI94" s="13">
        <f t="shared" si="126"/>
        <v>0</v>
      </c>
      <c r="CJ94" s="143"/>
      <c r="CK94" s="143"/>
      <c r="CL94" s="13">
        <f t="shared" si="127"/>
        <v>0</v>
      </c>
      <c r="CM94" s="143"/>
      <c r="CN94" s="143"/>
      <c r="CO94" s="13">
        <f t="shared" si="128"/>
        <v>0</v>
      </c>
      <c r="CP94" s="143"/>
      <c r="CQ94" s="143"/>
      <c r="CR94" s="13">
        <f t="shared" si="129"/>
        <v>0</v>
      </c>
      <c r="CS94" s="143"/>
      <c r="CT94" s="143"/>
      <c r="CU94" s="14">
        <f t="shared" si="42"/>
        <v>0</v>
      </c>
      <c r="CV94" s="139">
        <f t="shared" si="43"/>
        <v>0</v>
      </c>
      <c r="CW94" s="140">
        <f t="shared" si="43"/>
        <v>0</v>
      </c>
      <c r="CX94" s="141">
        <f t="shared" si="95"/>
        <v>0</v>
      </c>
      <c r="CY94" s="166">
        <v>0</v>
      </c>
      <c r="CZ94" s="171">
        <f t="shared" si="45"/>
        <v>0</v>
      </c>
      <c r="DB94" s="2">
        <f t="shared" si="49"/>
        <v>0</v>
      </c>
      <c r="DC94" s="62"/>
      <c r="DD94" s="143"/>
      <c r="DE94" s="149">
        <f t="shared" si="50"/>
        <v>0</v>
      </c>
    </row>
    <row r="95" spans="1:109" ht="16.8" thickBot="1">
      <c r="B95" s="36"/>
      <c r="C95" s="104"/>
      <c r="D95" s="34"/>
      <c r="E95" s="9"/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Y95" s="47" t="s">
        <v>127</v>
      </c>
      <c r="CZ95" s="173">
        <f>SUM(CZ5:CZ94)</f>
        <v>185147.24999999997</v>
      </c>
      <c r="DA95" s="48"/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Z96" s="174">
        <f>CZ95*1.08</f>
        <v>199959.02999999997</v>
      </c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  <row r="134" spans="6:99">
      <c r="F134" s="32"/>
      <c r="G134" s="21"/>
      <c r="H134" s="21"/>
      <c r="I134" s="15"/>
      <c r="J134" s="21"/>
      <c r="K134" s="21"/>
      <c r="L134" s="15"/>
      <c r="M134" s="21"/>
      <c r="N134" s="27"/>
      <c r="O134" s="15"/>
      <c r="P134" s="21"/>
      <c r="Q134" s="27"/>
      <c r="R134" s="15"/>
      <c r="S134" s="21"/>
      <c r="T134" s="21"/>
      <c r="U134" s="15"/>
      <c r="V134" s="21"/>
      <c r="W134" s="21"/>
      <c r="X134" s="15"/>
      <c r="Y134" s="21"/>
      <c r="Z134" s="21"/>
      <c r="AA134" s="15"/>
      <c r="AB134" s="21"/>
      <c r="AC134" s="21"/>
      <c r="AD134" s="15"/>
      <c r="AE134" s="21"/>
      <c r="AF134" s="27"/>
      <c r="AG134" s="15"/>
      <c r="AH134" s="21"/>
      <c r="AI134" s="27"/>
      <c r="AJ134" s="15"/>
      <c r="AK134" s="21"/>
      <c r="AL134" s="27"/>
      <c r="AM134" s="15"/>
      <c r="AN134" s="21"/>
      <c r="AO134" s="25"/>
      <c r="AP134" s="15"/>
      <c r="AQ134" s="21"/>
      <c r="AR134" s="27"/>
      <c r="AS134" s="21"/>
      <c r="AT134" s="21"/>
      <c r="AU134" s="21"/>
      <c r="AV134" s="15"/>
      <c r="AW134" s="21"/>
      <c r="AX134" s="27"/>
      <c r="AY134" s="15"/>
      <c r="AZ134" s="21"/>
      <c r="BA134" s="27"/>
      <c r="BB134" s="15"/>
      <c r="BC134" s="21"/>
      <c r="BD134" s="21"/>
      <c r="BE134" s="15"/>
      <c r="BF134" s="21"/>
      <c r="BG134" s="21"/>
      <c r="BH134" s="15"/>
      <c r="BI134" s="21"/>
      <c r="BJ134" s="27"/>
      <c r="BK134" s="15"/>
      <c r="BL134" s="21"/>
      <c r="BM134" s="21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41"/>
      <c r="BY134" s="15"/>
      <c r="BZ134" s="15"/>
      <c r="CA134" s="15"/>
      <c r="CB134" s="15"/>
      <c r="CC134" s="15"/>
      <c r="CD134" s="15"/>
      <c r="CE134" s="41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</row>
  </sheetData>
  <mergeCells count="34"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3F2B-09D5-4B20-9D78-23ADB4782C5F}">
  <sheetPr codeName="Sheet44">
    <tabColor rgb="FF00B0F0"/>
    <pageSetUpPr fitToPage="1"/>
  </sheetPr>
  <dimension ref="A1:DE133"/>
  <sheetViews>
    <sheetView zoomScale="160" zoomScaleNormal="160" workbookViewId="0">
      <pane xSplit="5" ySplit="4" topLeftCell="CO8" activePane="bottomRight" state="frozen"/>
      <selection pane="topRight" activeCell="F1" sqref="F1"/>
      <selection pane="bottomLeft" activeCell="A5" sqref="A5"/>
      <selection pane="bottomRight" activeCell="CP82" sqref="CP82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customWidth="1"/>
    <col min="9" max="9" width="5" style="10" customWidth="1"/>
    <col min="10" max="11" width="5" style="19" customWidth="1"/>
    <col min="12" max="12" width="5" style="10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customWidth="1"/>
    <col min="17" max="17" width="5" style="26" customWidth="1"/>
    <col min="18" max="18" width="5.109375" style="10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9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/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99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1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2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5</v>
      </c>
      <c r="E6" s="34" t="s">
        <v>26</v>
      </c>
      <c r="F6" s="14">
        <v>5</v>
      </c>
      <c r="G6" s="62"/>
      <c r="H6" s="143">
        <f>2</f>
        <v>2</v>
      </c>
      <c r="I6" s="13">
        <f t="shared" si="0"/>
        <v>3</v>
      </c>
      <c r="J6" s="62">
        <v>10</v>
      </c>
      <c r="K6" s="143">
        <f>2</f>
        <v>2</v>
      </c>
      <c r="L6" s="13">
        <f t="shared" si="1"/>
        <v>11</v>
      </c>
      <c r="M6" s="62"/>
      <c r="N6" s="143">
        <f>4</f>
        <v>4</v>
      </c>
      <c r="O6" s="13">
        <f t="shared" si="2"/>
        <v>7</v>
      </c>
      <c r="P6" s="62"/>
      <c r="Q6" s="143">
        <f>1</f>
        <v>1</v>
      </c>
      <c r="R6" s="13">
        <f t="shared" si="3"/>
        <v>6</v>
      </c>
      <c r="S6" s="62">
        <v>10</v>
      </c>
      <c r="T6" s="143">
        <f>3</f>
        <v>3</v>
      </c>
      <c r="U6" s="13">
        <f t="shared" si="4"/>
        <v>13</v>
      </c>
      <c r="V6" s="62">
        <v>10</v>
      </c>
      <c r="W6" s="143">
        <f>4+1</f>
        <v>5</v>
      </c>
      <c r="X6" s="13">
        <f t="shared" si="5"/>
        <v>18</v>
      </c>
      <c r="Y6" s="62"/>
      <c r="Z6" s="143"/>
      <c r="AA6" s="13">
        <f t="shared" ref="AA6:AA68" si="27">X6+Y6-Z6</f>
        <v>18</v>
      </c>
      <c r="AB6" s="62">
        <v>10</v>
      </c>
      <c r="AC6" s="143">
        <f>7+5+5+1</f>
        <v>18</v>
      </c>
      <c r="AD6" s="13">
        <f t="shared" ref="AD6:AD68" si="28">AA6+AB6-AC6</f>
        <v>10</v>
      </c>
      <c r="AE6" s="62">
        <v>20</v>
      </c>
      <c r="AF6" s="143">
        <f>2</f>
        <v>2</v>
      </c>
      <c r="AG6" s="13">
        <f t="shared" ref="AG6:AG68" si="29">AD6+AE6-AF6</f>
        <v>28</v>
      </c>
      <c r="AH6" s="62"/>
      <c r="AI6" s="199">
        <f>6+5</f>
        <v>11</v>
      </c>
      <c r="AJ6" s="13">
        <f t="shared" ref="AJ6:AJ68" si="30">AG6+AH6-AI6</f>
        <v>17</v>
      </c>
      <c r="AK6" s="62">
        <v>10</v>
      </c>
      <c r="AL6" s="143">
        <f>5+6</f>
        <v>11</v>
      </c>
      <c r="AM6" s="13">
        <f t="shared" si="6"/>
        <v>16</v>
      </c>
      <c r="AN6" s="62"/>
      <c r="AO6" s="143">
        <f>3</f>
        <v>3</v>
      </c>
      <c r="AP6" s="13">
        <f t="shared" si="7"/>
        <v>13</v>
      </c>
      <c r="AQ6" s="62"/>
      <c r="AR6" s="143">
        <f>2</f>
        <v>2</v>
      </c>
      <c r="AS6" s="13">
        <f t="shared" si="8"/>
        <v>11</v>
      </c>
      <c r="AT6" s="62"/>
      <c r="AU6" s="143"/>
      <c r="AV6" s="13">
        <f t="shared" si="9"/>
        <v>11</v>
      </c>
      <c r="AW6" s="62"/>
      <c r="AX6" s="143"/>
      <c r="AY6" s="13">
        <f t="shared" si="10"/>
        <v>11</v>
      </c>
      <c r="AZ6" s="62">
        <v>10</v>
      </c>
      <c r="BA6" s="143">
        <f>2+1</f>
        <v>3</v>
      </c>
      <c r="BB6" s="13">
        <f t="shared" si="11"/>
        <v>18</v>
      </c>
      <c r="BC6" s="62"/>
      <c r="BD6" s="143">
        <f>5+3+3</f>
        <v>11</v>
      </c>
      <c r="BE6" s="13">
        <f t="shared" si="12"/>
        <v>7</v>
      </c>
      <c r="BF6" s="62">
        <v>10</v>
      </c>
      <c r="BG6" s="143"/>
      <c r="BH6" s="13">
        <f t="shared" si="13"/>
        <v>17</v>
      </c>
      <c r="BI6" s="62"/>
      <c r="BJ6" s="143">
        <f>3</f>
        <v>3</v>
      </c>
      <c r="BK6" s="13">
        <f t="shared" si="14"/>
        <v>14</v>
      </c>
      <c r="BL6" s="62"/>
      <c r="BM6" s="143">
        <f>4</f>
        <v>4</v>
      </c>
      <c r="BN6" s="13">
        <f t="shared" si="15"/>
        <v>10</v>
      </c>
      <c r="BO6" s="62"/>
      <c r="BP6" s="143"/>
      <c r="BQ6" s="13">
        <f t="shared" si="16"/>
        <v>10</v>
      </c>
      <c r="BR6" s="62">
        <v>20</v>
      </c>
      <c r="BS6" s="143">
        <f>1</f>
        <v>1</v>
      </c>
      <c r="BT6" s="13">
        <f t="shared" si="17"/>
        <v>29</v>
      </c>
      <c r="BU6" s="62"/>
      <c r="BV6" s="143"/>
      <c r="BW6" s="13">
        <f t="shared" si="18"/>
        <v>29</v>
      </c>
      <c r="BX6" s="62"/>
      <c r="BY6" s="143">
        <f>6+4+3+1</f>
        <v>14</v>
      </c>
      <c r="BZ6" s="13">
        <f t="shared" si="19"/>
        <v>15</v>
      </c>
      <c r="CA6" s="62">
        <v>10</v>
      </c>
      <c r="CB6" s="143">
        <f>4+3</f>
        <v>7</v>
      </c>
      <c r="CC6" s="13">
        <f t="shared" si="20"/>
        <v>18</v>
      </c>
      <c r="CD6" s="62"/>
      <c r="CE6" s="143">
        <f>2</f>
        <v>2</v>
      </c>
      <c r="CF6" s="13">
        <f t="shared" si="21"/>
        <v>16</v>
      </c>
      <c r="CG6" s="61"/>
      <c r="CH6" s="143">
        <v>1</v>
      </c>
      <c r="CI6" s="13">
        <f t="shared" ref="CI6:CI69" si="31">CF6+CG6-CH6</f>
        <v>15</v>
      </c>
      <c r="CJ6" s="62"/>
      <c r="CK6" s="143"/>
      <c r="CL6" s="13">
        <f t="shared" ref="CL6:CL69" si="32">CI6+CJ6-CK6</f>
        <v>15</v>
      </c>
      <c r="CM6" s="62">
        <v>10</v>
      </c>
      <c r="CN6" s="143">
        <f>4+4</f>
        <v>8</v>
      </c>
      <c r="CO6" s="13">
        <f t="shared" si="22"/>
        <v>17</v>
      </c>
      <c r="CP6" s="62"/>
      <c r="CQ6" s="143">
        <f>6+3</f>
        <v>9</v>
      </c>
      <c r="CR6" s="13">
        <f t="shared" ref="CR6:CR69" si="33">CO6+CP6-CQ6</f>
        <v>8</v>
      </c>
      <c r="CS6" s="62"/>
      <c r="CT6" s="143"/>
      <c r="CU6" s="14">
        <f t="shared" si="23"/>
        <v>8</v>
      </c>
      <c r="CV6" s="5">
        <f t="shared" si="24"/>
        <v>130</v>
      </c>
      <c r="CW6" s="4">
        <f t="shared" si="24"/>
        <v>127</v>
      </c>
      <c r="CX6" s="6">
        <f t="shared" si="25"/>
        <v>8</v>
      </c>
      <c r="CY6" s="162">
        <v>210</v>
      </c>
      <c r="CZ6" s="171">
        <f t="shared" si="26"/>
        <v>1680</v>
      </c>
      <c r="DB6" s="2">
        <f t="shared" ref="DB6:DB69" si="34">CU6</f>
        <v>8</v>
      </c>
      <c r="DC6" s="62"/>
      <c r="DD6" s="143"/>
      <c r="DE6" s="149">
        <f t="shared" ref="DE6:DE70" si="35">DC6+DB6-DD6</f>
        <v>8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1"/>
      <c r="AF7" s="143"/>
      <c r="AG7" s="13">
        <f t="shared" si="29"/>
        <v>0</v>
      </c>
      <c r="AH7" s="62"/>
      <c r="AI7" s="199"/>
      <c r="AJ7" s="13">
        <f t="shared" si="30"/>
        <v>0</v>
      </c>
      <c r="AK7" s="61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1"/>
      <c r="CE7" s="143"/>
      <c r="CF7" s="13">
        <f t="shared" si="21"/>
        <v>0</v>
      </c>
      <c r="CG7" s="61"/>
      <c r="CH7" s="143"/>
      <c r="CI7" s="13">
        <f t="shared" si="31"/>
        <v>0</v>
      </c>
      <c r="CJ7" s="61"/>
      <c r="CK7" s="143"/>
      <c r="CL7" s="13">
        <f t="shared" si="32"/>
        <v>0</v>
      </c>
      <c r="CM7" s="61"/>
      <c r="CN7" s="143"/>
      <c r="CO7" s="13">
        <f t="shared" si="22"/>
        <v>0</v>
      </c>
      <c r="CP7" s="62"/>
      <c r="CQ7" s="143"/>
      <c r="CR7" s="13">
        <f t="shared" si="33"/>
        <v>0</v>
      </c>
      <c r="CS7" s="61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2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>
        <v>20</v>
      </c>
      <c r="E8" s="35" t="s">
        <v>26</v>
      </c>
      <c r="F8" s="14">
        <v>18</v>
      </c>
      <c r="G8" s="62">
        <v>20</v>
      </c>
      <c r="H8" s="143">
        <v>6</v>
      </c>
      <c r="I8" s="13">
        <f t="shared" si="0"/>
        <v>32</v>
      </c>
      <c r="J8" s="62"/>
      <c r="K8" s="143">
        <v>10</v>
      </c>
      <c r="L8" s="13">
        <f t="shared" si="1"/>
        <v>22</v>
      </c>
      <c r="M8" s="62"/>
      <c r="N8" s="143"/>
      <c r="O8" s="13">
        <f t="shared" si="2"/>
        <v>22</v>
      </c>
      <c r="P8" s="62"/>
      <c r="Q8" s="143">
        <v>6</v>
      </c>
      <c r="R8" s="13">
        <f t="shared" si="3"/>
        <v>16</v>
      </c>
      <c r="S8" s="62">
        <v>20</v>
      </c>
      <c r="T8" s="143">
        <v>6</v>
      </c>
      <c r="U8" s="13">
        <f t="shared" si="4"/>
        <v>30</v>
      </c>
      <c r="V8" s="62"/>
      <c r="W8" s="143">
        <v>4</v>
      </c>
      <c r="X8" s="13">
        <f t="shared" si="5"/>
        <v>26</v>
      </c>
      <c r="Y8" s="62"/>
      <c r="Z8" s="143"/>
      <c r="AA8" s="13">
        <f t="shared" si="27"/>
        <v>26</v>
      </c>
      <c r="AB8" s="62">
        <v>20</v>
      </c>
      <c r="AC8" s="143">
        <v>8</v>
      </c>
      <c r="AD8" s="13">
        <f t="shared" si="28"/>
        <v>38</v>
      </c>
      <c r="AE8" s="61"/>
      <c r="AF8" s="143">
        <v>5</v>
      </c>
      <c r="AG8" s="13">
        <f t="shared" si="29"/>
        <v>33</v>
      </c>
      <c r="AH8" s="62"/>
      <c r="AI8" s="199"/>
      <c r="AJ8" s="13">
        <f t="shared" si="30"/>
        <v>33</v>
      </c>
      <c r="AK8" s="61"/>
      <c r="AL8" s="143">
        <v>6</v>
      </c>
      <c r="AM8" s="13">
        <f t="shared" si="6"/>
        <v>27</v>
      </c>
      <c r="AN8" s="61"/>
      <c r="AO8" s="143">
        <f>2+5</f>
        <v>7</v>
      </c>
      <c r="AP8" s="13">
        <f t="shared" si="7"/>
        <v>20</v>
      </c>
      <c r="AQ8" s="62">
        <v>20</v>
      </c>
      <c r="AR8" s="143">
        <v>11</v>
      </c>
      <c r="AS8" s="13">
        <f t="shared" si="8"/>
        <v>29</v>
      </c>
      <c r="AT8" s="61"/>
      <c r="AU8" s="143"/>
      <c r="AV8" s="13">
        <f t="shared" si="9"/>
        <v>29</v>
      </c>
      <c r="AW8" s="62"/>
      <c r="AX8" s="143">
        <v>5</v>
      </c>
      <c r="AY8" s="13">
        <f t="shared" si="10"/>
        <v>24</v>
      </c>
      <c r="AZ8" s="62">
        <v>20</v>
      </c>
      <c r="BA8" s="143">
        <f>8</f>
        <v>8</v>
      </c>
      <c r="BB8" s="13">
        <f t="shared" si="11"/>
        <v>36</v>
      </c>
      <c r="BC8" s="62"/>
      <c r="BD8" s="143"/>
      <c r="BE8" s="13">
        <f t="shared" si="12"/>
        <v>36</v>
      </c>
      <c r="BF8" s="62"/>
      <c r="BG8" s="143">
        <v>8</v>
      </c>
      <c r="BH8" s="13">
        <f t="shared" si="13"/>
        <v>28</v>
      </c>
      <c r="BI8" s="62"/>
      <c r="BJ8" s="143">
        <v>7</v>
      </c>
      <c r="BK8" s="13">
        <f t="shared" si="14"/>
        <v>21</v>
      </c>
      <c r="BL8" s="62">
        <v>20</v>
      </c>
      <c r="BM8" s="143">
        <v>8</v>
      </c>
      <c r="BN8" s="13">
        <f t="shared" si="15"/>
        <v>33</v>
      </c>
      <c r="BO8" s="62"/>
      <c r="BP8" s="143"/>
      <c r="BQ8" s="13">
        <f t="shared" si="16"/>
        <v>33</v>
      </c>
      <c r="BR8" s="62"/>
      <c r="BS8" s="143">
        <v>7</v>
      </c>
      <c r="BT8" s="13">
        <f t="shared" si="17"/>
        <v>26</v>
      </c>
      <c r="BU8" s="62"/>
      <c r="BV8" s="143">
        <v>10</v>
      </c>
      <c r="BW8" s="13">
        <f t="shared" si="18"/>
        <v>16</v>
      </c>
      <c r="BX8" s="62"/>
      <c r="BY8" s="143"/>
      <c r="BZ8" s="13">
        <f t="shared" si="19"/>
        <v>16</v>
      </c>
      <c r="CA8" s="62">
        <v>20</v>
      </c>
      <c r="CB8" s="143">
        <v>7</v>
      </c>
      <c r="CC8" s="13">
        <f t="shared" si="20"/>
        <v>29</v>
      </c>
      <c r="CD8" s="61"/>
      <c r="CE8" s="143">
        <v>3</v>
      </c>
      <c r="CF8" s="13">
        <f t="shared" si="21"/>
        <v>26</v>
      </c>
      <c r="CG8" s="61"/>
      <c r="CH8" s="143">
        <v>9</v>
      </c>
      <c r="CI8" s="13">
        <f t="shared" si="31"/>
        <v>17</v>
      </c>
      <c r="CJ8" s="61"/>
      <c r="CK8" s="143"/>
      <c r="CL8" s="13">
        <f t="shared" si="32"/>
        <v>17</v>
      </c>
      <c r="CM8" s="61">
        <v>20</v>
      </c>
      <c r="CN8" s="143">
        <v>7</v>
      </c>
      <c r="CO8" s="13">
        <f t="shared" si="22"/>
        <v>30</v>
      </c>
      <c r="CP8" s="62"/>
      <c r="CQ8" s="143">
        <v>6</v>
      </c>
      <c r="CR8" s="13">
        <f t="shared" si="33"/>
        <v>24</v>
      </c>
      <c r="CS8" s="61"/>
      <c r="CT8" s="143"/>
      <c r="CU8" s="14">
        <f t="shared" si="23"/>
        <v>24</v>
      </c>
      <c r="CV8" s="5">
        <f t="shared" si="24"/>
        <v>160</v>
      </c>
      <c r="CW8" s="4">
        <f t="shared" si="24"/>
        <v>154</v>
      </c>
      <c r="CX8" s="6">
        <f t="shared" si="25"/>
        <v>24</v>
      </c>
      <c r="CY8" s="162">
        <v>125</v>
      </c>
      <c r="CZ8" s="171">
        <f t="shared" si="26"/>
        <v>3000</v>
      </c>
      <c r="DB8" s="2">
        <f t="shared" si="34"/>
        <v>24</v>
      </c>
      <c r="DC8" s="62"/>
      <c r="DD8" s="143"/>
      <c r="DE8" s="149">
        <f t="shared" si="35"/>
        <v>24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1"/>
      <c r="AF9" s="143"/>
      <c r="AG9" s="13">
        <f t="shared" si="29"/>
        <v>0</v>
      </c>
      <c r="AH9" s="62"/>
      <c r="AI9" s="199"/>
      <c r="AJ9" s="13">
        <f t="shared" si="30"/>
        <v>0</v>
      </c>
      <c r="AK9" s="61"/>
      <c r="AL9" s="143"/>
      <c r="AM9" s="13">
        <f t="shared" si="6"/>
        <v>0</v>
      </c>
      <c r="AN9" s="61"/>
      <c r="AO9" s="143"/>
      <c r="AP9" s="13">
        <f t="shared" si="7"/>
        <v>0</v>
      </c>
      <c r="AQ9" s="62"/>
      <c r="AR9" s="143"/>
      <c r="AS9" s="13">
        <f t="shared" si="8"/>
        <v>0</v>
      </c>
      <c r="AT9" s="61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1"/>
      <c r="AF10" s="143"/>
      <c r="AG10" s="13">
        <f t="shared" si="29"/>
        <v>0</v>
      </c>
      <c r="AH10" s="62"/>
      <c r="AI10" s="199"/>
      <c r="AJ10" s="13">
        <f t="shared" si="30"/>
        <v>0</v>
      </c>
      <c r="AK10" s="61"/>
      <c r="AL10" s="143"/>
      <c r="AM10" s="13">
        <f t="shared" si="6"/>
        <v>0</v>
      </c>
      <c r="AN10" s="61"/>
      <c r="AO10" s="143"/>
      <c r="AP10" s="13">
        <f t="shared" si="7"/>
        <v>0</v>
      </c>
      <c r="AQ10" s="62"/>
      <c r="AR10" s="143"/>
      <c r="AS10" s="13">
        <f t="shared" si="8"/>
        <v>0</v>
      </c>
      <c r="AT10" s="61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1"/>
      <c r="CE10" s="143"/>
      <c r="CF10" s="13">
        <f t="shared" si="21"/>
        <v>0</v>
      </c>
      <c r="CG10" s="61"/>
      <c r="CH10" s="143"/>
      <c r="CI10" s="13">
        <f t="shared" si="31"/>
        <v>0</v>
      </c>
      <c r="CJ10" s="61"/>
      <c r="CK10" s="143"/>
      <c r="CL10" s="13">
        <f t="shared" si="32"/>
        <v>0</v>
      </c>
      <c r="CM10" s="61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1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2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66"/>
      <c r="AF11" s="143"/>
      <c r="AG11" s="13">
        <f t="shared" si="29"/>
        <v>0</v>
      </c>
      <c r="AH11" s="175"/>
      <c r="AI11" s="199"/>
      <c r="AJ11" s="13">
        <f t="shared" si="30"/>
        <v>0</v>
      </c>
      <c r="AK11" s="66"/>
      <c r="AL11" s="143"/>
      <c r="AM11" s="13">
        <f t="shared" si="6"/>
        <v>0</v>
      </c>
      <c r="AN11" s="66"/>
      <c r="AO11" s="143"/>
      <c r="AP11" s="13">
        <f t="shared" si="7"/>
        <v>0</v>
      </c>
      <c r="AQ11" s="175"/>
      <c r="AR11" s="143"/>
      <c r="AS11" s="13">
        <f t="shared" si="8"/>
        <v>0</v>
      </c>
      <c r="AT11" s="66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66"/>
      <c r="CE11" s="143"/>
      <c r="CF11" s="13">
        <f t="shared" si="21"/>
        <v>0</v>
      </c>
      <c r="CG11" s="66"/>
      <c r="CH11" s="143"/>
      <c r="CI11" s="13">
        <f t="shared" si="31"/>
        <v>0</v>
      </c>
      <c r="CJ11" s="66"/>
      <c r="CK11" s="143"/>
      <c r="CL11" s="13">
        <f t="shared" si="32"/>
        <v>0</v>
      </c>
      <c r="CM11" s="66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66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175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20</v>
      </c>
      <c r="G12" s="62">
        <f>-47+80+47</f>
        <v>80</v>
      </c>
      <c r="H12" s="143">
        <f>5+15</f>
        <v>20</v>
      </c>
      <c r="I12" s="13">
        <f t="shared" si="0"/>
        <v>80</v>
      </c>
      <c r="J12" s="62">
        <f>40+20</f>
        <v>60</v>
      </c>
      <c r="K12" s="143">
        <f>6+67</f>
        <v>73</v>
      </c>
      <c r="L12" s="13">
        <f t="shared" si="1"/>
        <v>67</v>
      </c>
      <c r="M12" s="62"/>
      <c r="N12" s="143"/>
      <c r="O12" s="13">
        <f t="shared" si="2"/>
        <v>67</v>
      </c>
      <c r="P12" s="62">
        <f>40+20</f>
        <v>60</v>
      </c>
      <c r="Q12" s="143">
        <f>6+57</f>
        <v>63</v>
      </c>
      <c r="R12" s="13">
        <f t="shared" si="3"/>
        <v>64</v>
      </c>
      <c r="S12" s="62">
        <v>60</v>
      </c>
      <c r="T12" s="143">
        <f>6+45</f>
        <v>51</v>
      </c>
      <c r="U12" s="13">
        <f t="shared" si="4"/>
        <v>73</v>
      </c>
      <c r="V12" s="62">
        <f>-20+40+36</f>
        <v>56</v>
      </c>
      <c r="W12" s="143">
        <f>9+60</f>
        <v>69</v>
      </c>
      <c r="X12" s="13">
        <f t="shared" si="5"/>
        <v>60</v>
      </c>
      <c r="Y12" s="62"/>
      <c r="Z12" s="143"/>
      <c r="AA12" s="13">
        <f t="shared" si="27"/>
        <v>60</v>
      </c>
      <c r="AB12" s="62">
        <v>60</v>
      </c>
      <c r="AC12" s="143">
        <f>5+45</f>
        <v>50</v>
      </c>
      <c r="AD12" s="13">
        <f t="shared" si="28"/>
        <v>70</v>
      </c>
      <c r="AE12" s="61">
        <f>-10+40+20</f>
        <v>50</v>
      </c>
      <c r="AF12" s="143">
        <f>6+64</f>
        <v>70</v>
      </c>
      <c r="AG12" s="13">
        <f t="shared" si="29"/>
        <v>50</v>
      </c>
      <c r="AH12" s="62"/>
      <c r="AI12" s="199"/>
      <c r="AJ12" s="13">
        <f t="shared" si="30"/>
        <v>50</v>
      </c>
      <c r="AK12" s="61">
        <v>40</v>
      </c>
      <c r="AL12" s="143">
        <f>3+36</f>
        <v>39</v>
      </c>
      <c r="AM12" s="13">
        <f t="shared" si="6"/>
        <v>51</v>
      </c>
      <c r="AN12" s="61">
        <f>-15+60+40</f>
        <v>85</v>
      </c>
      <c r="AO12" s="143">
        <f>4+47</f>
        <v>51</v>
      </c>
      <c r="AP12" s="13">
        <f t="shared" si="7"/>
        <v>85</v>
      </c>
      <c r="AQ12" s="62">
        <f>-18+40+80</f>
        <v>102</v>
      </c>
      <c r="AR12" s="143">
        <f>12+73</f>
        <v>85</v>
      </c>
      <c r="AS12" s="13">
        <f t="shared" si="8"/>
        <v>102</v>
      </c>
      <c r="AT12" s="61"/>
      <c r="AU12" s="143"/>
      <c r="AV12" s="13">
        <f t="shared" si="9"/>
        <v>102</v>
      </c>
      <c r="AW12" s="62"/>
      <c r="AX12" s="143">
        <f>5+59</f>
        <v>64</v>
      </c>
      <c r="AY12" s="13">
        <f t="shared" si="10"/>
        <v>38</v>
      </c>
      <c r="AZ12" s="62">
        <f>-13+60+13</f>
        <v>60</v>
      </c>
      <c r="BA12" s="143">
        <f>8+30+1</f>
        <v>39</v>
      </c>
      <c r="BB12" s="13">
        <f t="shared" si="11"/>
        <v>59</v>
      </c>
      <c r="BC12" s="62"/>
      <c r="BD12" s="143"/>
      <c r="BE12" s="13">
        <f t="shared" si="12"/>
        <v>59</v>
      </c>
      <c r="BF12" s="62">
        <v>40</v>
      </c>
      <c r="BG12" s="143">
        <v>31</v>
      </c>
      <c r="BH12" s="13">
        <f t="shared" si="13"/>
        <v>68</v>
      </c>
      <c r="BI12" s="62">
        <v>60</v>
      </c>
      <c r="BJ12" s="143">
        <v>28</v>
      </c>
      <c r="BK12" s="13">
        <f t="shared" si="14"/>
        <v>100</v>
      </c>
      <c r="BL12" s="62">
        <v>40</v>
      </c>
      <c r="BM12" s="143">
        <f>6+43</f>
        <v>49</v>
      </c>
      <c r="BN12" s="13">
        <f t="shared" si="15"/>
        <v>91</v>
      </c>
      <c r="BO12" s="62"/>
      <c r="BP12" s="143"/>
      <c r="BQ12" s="13">
        <f t="shared" si="16"/>
        <v>91</v>
      </c>
      <c r="BR12" s="62">
        <v>60</v>
      </c>
      <c r="BS12" s="143">
        <f>5+24+1</f>
        <v>30</v>
      </c>
      <c r="BT12" s="13">
        <f t="shared" si="17"/>
        <v>121</v>
      </c>
      <c r="BU12" s="62"/>
      <c r="BV12" s="143">
        <f>7+46</f>
        <v>53</v>
      </c>
      <c r="BW12" s="13">
        <f t="shared" si="18"/>
        <v>68</v>
      </c>
      <c r="BX12" s="62">
        <v>40</v>
      </c>
      <c r="BY12" s="143"/>
      <c r="BZ12" s="13">
        <f t="shared" si="19"/>
        <v>108</v>
      </c>
      <c r="CA12" s="62">
        <v>40</v>
      </c>
      <c r="CB12" s="143">
        <f>4+23</f>
        <v>27</v>
      </c>
      <c r="CC12" s="13">
        <f t="shared" si="20"/>
        <v>121</v>
      </c>
      <c r="CD12" s="61">
        <v>60</v>
      </c>
      <c r="CE12" s="143">
        <f>5+23</f>
        <v>28</v>
      </c>
      <c r="CF12" s="13">
        <f t="shared" si="21"/>
        <v>153</v>
      </c>
      <c r="CG12" s="61">
        <v>40</v>
      </c>
      <c r="CH12" s="143">
        <f>8+40</f>
        <v>48</v>
      </c>
      <c r="CI12" s="13">
        <f t="shared" si="31"/>
        <v>145</v>
      </c>
      <c r="CJ12" s="61"/>
      <c r="CK12" s="143"/>
      <c r="CL12" s="13">
        <f t="shared" si="32"/>
        <v>145</v>
      </c>
      <c r="CM12" s="62"/>
      <c r="CN12" s="143">
        <f>5+7</f>
        <v>12</v>
      </c>
      <c r="CO12" s="13">
        <f t="shared" si="22"/>
        <v>133</v>
      </c>
      <c r="CP12" s="62"/>
      <c r="CQ12" s="143">
        <v>29</v>
      </c>
      <c r="CR12" s="13">
        <f t="shared" si="33"/>
        <v>104</v>
      </c>
      <c r="CS12" s="62"/>
      <c r="CT12" s="143"/>
      <c r="CU12" s="14">
        <f t="shared" si="23"/>
        <v>104</v>
      </c>
      <c r="CV12" s="5">
        <f t="shared" si="24"/>
        <v>1093</v>
      </c>
      <c r="CW12" s="4">
        <f t="shared" si="24"/>
        <v>1009</v>
      </c>
      <c r="CX12" s="6">
        <f t="shared" si="25"/>
        <v>104</v>
      </c>
      <c r="CY12" s="162">
        <v>45</v>
      </c>
      <c r="CZ12" s="171">
        <f t="shared" si="26"/>
        <v>4680</v>
      </c>
      <c r="DB12" s="2">
        <f t="shared" si="34"/>
        <v>104</v>
      </c>
      <c r="DC12" s="62"/>
      <c r="DD12" s="143"/>
      <c r="DE12" s="149">
        <f t="shared" si="35"/>
        <v>104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3</v>
      </c>
      <c r="E13" s="34" t="s">
        <v>26</v>
      </c>
      <c r="F13" s="14">
        <v>9.25</v>
      </c>
      <c r="G13" s="62">
        <v>6</v>
      </c>
      <c r="H13" s="143">
        <f>1+1.25</f>
        <v>2.25</v>
      </c>
      <c r="I13" s="13">
        <f t="shared" si="0"/>
        <v>13</v>
      </c>
      <c r="J13" s="62">
        <v>6</v>
      </c>
      <c r="K13" s="143">
        <f>2+1</f>
        <v>3</v>
      </c>
      <c r="L13" s="13">
        <f t="shared" si="1"/>
        <v>16</v>
      </c>
      <c r="M13" s="62"/>
      <c r="N13" s="143">
        <f>2.5+2+1.5+2+4.5</f>
        <v>12.5</v>
      </c>
      <c r="O13" s="13">
        <f t="shared" si="2"/>
        <v>3.5</v>
      </c>
      <c r="P13" s="62">
        <v>6</v>
      </c>
      <c r="Q13" s="143">
        <f>1</f>
        <v>1</v>
      </c>
      <c r="R13" s="30">
        <f t="shared" si="3"/>
        <v>8.5</v>
      </c>
      <c r="S13" s="62"/>
      <c r="T13" s="143">
        <f>1.25</f>
        <v>1.25</v>
      </c>
      <c r="U13" s="13">
        <f t="shared" si="4"/>
        <v>7.25</v>
      </c>
      <c r="V13" s="62">
        <v>6</v>
      </c>
      <c r="W13" s="143">
        <f>1+1.25+0.5</f>
        <v>2.75</v>
      </c>
      <c r="X13" s="13">
        <f t="shared" si="5"/>
        <v>10.5</v>
      </c>
      <c r="Y13" s="62"/>
      <c r="Z13" s="143"/>
      <c r="AA13" s="13">
        <f t="shared" si="27"/>
        <v>10.5</v>
      </c>
      <c r="AB13" s="62">
        <v>6</v>
      </c>
      <c r="AC13" s="143">
        <f>3.75+1+1.5+1</f>
        <v>7.25</v>
      </c>
      <c r="AD13" s="13">
        <f t="shared" si="28"/>
        <v>9.25</v>
      </c>
      <c r="AE13" s="61"/>
      <c r="AF13" s="143">
        <f>2.75+1</f>
        <v>3.75</v>
      </c>
      <c r="AG13" s="13">
        <f t="shared" si="29"/>
        <v>5.5</v>
      </c>
      <c r="AH13" s="62"/>
      <c r="AI13" s="199"/>
      <c r="AJ13" s="13">
        <f t="shared" si="30"/>
        <v>5.5</v>
      </c>
      <c r="AK13" s="61">
        <v>6</v>
      </c>
      <c r="AL13" s="143">
        <f>1</f>
        <v>1</v>
      </c>
      <c r="AM13" s="13">
        <f t="shared" si="6"/>
        <v>10.5</v>
      </c>
      <c r="AN13" s="61"/>
      <c r="AO13" s="143">
        <f>1</f>
        <v>1</v>
      </c>
      <c r="AP13" s="13">
        <f t="shared" si="7"/>
        <v>9.5</v>
      </c>
      <c r="AQ13" s="62"/>
      <c r="AR13" s="143">
        <f>1</f>
        <v>1</v>
      </c>
      <c r="AS13" s="13">
        <f t="shared" si="8"/>
        <v>8.5</v>
      </c>
      <c r="AT13" s="61"/>
      <c r="AU13" s="143"/>
      <c r="AV13" s="13">
        <f t="shared" si="9"/>
        <v>8.5</v>
      </c>
      <c r="AW13" s="62"/>
      <c r="AX13" s="143"/>
      <c r="AY13" s="13">
        <f t="shared" si="10"/>
        <v>8.5</v>
      </c>
      <c r="AZ13" s="62">
        <v>6</v>
      </c>
      <c r="BA13" s="143">
        <f>1+1.5+1+1</f>
        <v>4.5</v>
      </c>
      <c r="BB13" s="13">
        <f t="shared" si="11"/>
        <v>10</v>
      </c>
      <c r="BC13" s="62"/>
      <c r="BD13" s="143"/>
      <c r="BE13" s="13">
        <f t="shared" si="12"/>
        <v>10</v>
      </c>
      <c r="BF13" s="62">
        <v>6</v>
      </c>
      <c r="BG13" s="143">
        <f>4.25+1.25+1</f>
        <v>6.5</v>
      </c>
      <c r="BH13" s="13">
        <f t="shared" si="13"/>
        <v>9.5</v>
      </c>
      <c r="BI13" s="62">
        <v>6</v>
      </c>
      <c r="BJ13" s="143"/>
      <c r="BK13" s="13">
        <f t="shared" si="14"/>
        <v>15.5</v>
      </c>
      <c r="BL13" s="62">
        <v>6</v>
      </c>
      <c r="BM13" s="143">
        <f>1.25+1.5</f>
        <v>2.75</v>
      </c>
      <c r="BN13" s="13">
        <f t="shared" si="15"/>
        <v>18.75</v>
      </c>
      <c r="BO13" s="62"/>
      <c r="BP13" s="143"/>
      <c r="BQ13" s="13">
        <f t="shared" si="16"/>
        <v>18.75</v>
      </c>
      <c r="BR13" s="62">
        <v>6</v>
      </c>
      <c r="BS13" s="143">
        <f>3.75+1+3.5+1</f>
        <v>9.25</v>
      </c>
      <c r="BT13" s="13">
        <f t="shared" si="17"/>
        <v>15.5</v>
      </c>
      <c r="BU13" s="62"/>
      <c r="BV13" s="143">
        <f>1</f>
        <v>1</v>
      </c>
      <c r="BW13" s="13">
        <f t="shared" si="18"/>
        <v>14.5</v>
      </c>
      <c r="BX13" s="62"/>
      <c r="BY13" s="143">
        <f>1+1.25+1.75</f>
        <v>4</v>
      </c>
      <c r="BZ13" s="13">
        <f t="shared" si="19"/>
        <v>10.5</v>
      </c>
      <c r="CA13" s="62"/>
      <c r="CB13" s="143">
        <f>1+1</f>
        <v>2</v>
      </c>
      <c r="CC13" s="13">
        <f t="shared" si="20"/>
        <v>8.5</v>
      </c>
      <c r="CD13" s="61"/>
      <c r="CE13" s="143"/>
      <c r="CF13" s="13">
        <f t="shared" si="21"/>
        <v>8.5</v>
      </c>
      <c r="CG13" s="61"/>
      <c r="CH13" s="143"/>
      <c r="CI13" s="13">
        <f>CF13+CG13-CH13</f>
        <v>8.5</v>
      </c>
      <c r="CJ13" s="61"/>
      <c r="CK13" s="143"/>
      <c r="CL13" s="13">
        <f>CI13+CJ13-CK13</f>
        <v>8.5</v>
      </c>
      <c r="CM13" s="62"/>
      <c r="CN13" s="143">
        <f>1</f>
        <v>1</v>
      </c>
      <c r="CO13" s="13">
        <f t="shared" si="22"/>
        <v>7.5</v>
      </c>
      <c r="CP13" s="62">
        <v>6</v>
      </c>
      <c r="CQ13" s="143"/>
      <c r="CR13" s="13">
        <f t="shared" si="33"/>
        <v>13.5</v>
      </c>
      <c r="CS13" s="62"/>
      <c r="CT13" s="143"/>
      <c r="CU13" s="14">
        <f t="shared" si="23"/>
        <v>13.5</v>
      </c>
      <c r="CV13" s="5">
        <f t="shared" si="24"/>
        <v>72</v>
      </c>
      <c r="CW13" s="4">
        <f t="shared" si="24"/>
        <v>67.75</v>
      </c>
      <c r="CX13" s="6">
        <f t="shared" si="25"/>
        <v>13.5</v>
      </c>
      <c r="CY13" s="162">
        <v>500</v>
      </c>
      <c r="CZ13" s="171">
        <f t="shared" si="26"/>
        <v>6750</v>
      </c>
      <c r="DB13" s="2">
        <f t="shared" si="34"/>
        <v>13.5</v>
      </c>
      <c r="DC13" s="62"/>
      <c r="DD13" s="143"/>
      <c r="DE13" s="149">
        <f t="shared" si="35"/>
        <v>13.5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18.5</v>
      </c>
      <c r="G14" s="62">
        <v>24</v>
      </c>
      <c r="H14" s="143">
        <f>1.5+1.5+1+7</f>
        <v>11</v>
      </c>
      <c r="I14" s="13">
        <f t="shared" si="0"/>
        <v>31.5</v>
      </c>
      <c r="J14" s="62">
        <v>16</v>
      </c>
      <c r="K14" s="143">
        <f>1+3.5+1+1+14</f>
        <v>20.5</v>
      </c>
      <c r="L14" s="13">
        <f t="shared" si="1"/>
        <v>27</v>
      </c>
      <c r="M14" s="62"/>
      <c r="N14" s="143">
        <f>2+2+2</f>
        <v>6</v>
      </c>
      <c r="O14" s="13">
        <f t="shared" si="2"/>
        <v>21</v>
      </c>
      <c r="P14" s="62">
        <v>16</v>
      </c>
      <c r="Q14" s="143">
        <f>2+8</f>
        <v>10</v>
      </c>
      <c r="R14" s="30">
        <f t="shared" si="3"/>
        <v>27</v>
      </c>
      <c r="S14" s="62">
        <v>16</v>
      </c>
      <c r="T14" s="143">
        <f>1+1+0.5+0.5+0.5+1+0.5+0.5+8-1</f>
        <v>12.5</v>
      </c>
      <c r="U14" s="13">
        <f t="shared" si="4"/>
        <v>30.5</v>
      </c>
      <c r="V14" s="62">
        <v>8</v>
      </c>
      <c r="W14" s="143">
        <f>3+16</f>
        <v>19</v>
      </c>
      <c r="X14" s="13">
        <f t="shared" si="5"/>
        <v>19.5</v>
      </c>
      <c r="Y14" s="62"/>
      <c r="Z14" s="143"/>
      <c r="AA14" s="13">
        <f t="shared" si="27"/>
        <v>19.5</v>
      </c>
      <c r="AB14" s="62">
        <v>16</v>
      </c>
      <c r="AC14" s="143">
        <f>6+0.5</f>
        <v>6.5</v>
      </c>
      <c r="AD14" s="13">
        <f t="shared" si="28"/>
        <v>29</v>
      </c>
      <c r="AE14" s="61">
        <v>8</v>
      </c>
      <c r="AF14" s="143">
        <f>3+1.5+5</f>
        <v>9.5</v>
      </c>
      <c r="AG14" s="13">
        <f t="shared" si="29"/>
        <v>27.5</v>
      </c>
      <c r="AH14" s="62"/>
      <c r="AI14" s="199">
        <f>2+1.5+1</f>
        <v>4.5</v>
      </c>
      <c r="AJ14" s="13">
        <f t="shared" si="30"/>
        <v>23</v>
      </c>
      <c r="AK14" s="61">
        <v>8</v>
      </c>
      <c r="AL14" s="143">
        <f>1+5</f>
        <v>6</v>
      </c>
      <c r="AM14" s="13">
        <f t="shared" si="6"/>
        <v>25</v>
      </c>
      <c r="AN14" s="61">
        <v>32</v>
      </c>
      <c r="AO14" s="143">
        <f>4+1+1+0.5+0.5+0.5+9</f>
        <v>16.5</v>
      </c>
      <c r="AP14" s="13">
        <f t="shared" si="7"/>
        <v>40.5</v>
      </c>
      <c r="AQ14" s="62">
        <v>16</v>
      </c>
      <c r="AR14" s="143">
        <f>15</f>
        <v>15</v>
      </c>
      <c r="AS14" s="13">
        <f t="shared" si="8"/>
        <v>41.5</v>
      </c>
      <c r="AT14" s="61"/>
      <c r="AU14" s="143"/>
      <c r="AV14" s="13">
        <f t="shared" si="9"/>
        <v>41.5</v>
      </c>
      <c r="AW14" s="62"/>
      <c r="AX14" s="143">
        <v>10</v>
      </c>
      <c r="AY14" s="180">
        <f t="shared" si="10"/>
        <v>31.5</v>
      </c>
      <c r="AZ14" s="62">
        <v>24</v>
      </c>
      <c r="BA14" s="143">
        <f>3.5+1+1+1+3+11+0.5</f>
        <v>21</v>
      </c>
      <c r="BB14" s="13">
        <f t="shared" si="11"/>
        <v>34.5</v>
      </c>
      <c r="BC14" s="62"/>
      <c r="BD14" s="143">
        <f>2+3+2</f>
        <v>7</v>
      </c>
      <c r="BE14" s="13">
        <f t="shared" si="12"/>
        <v>27.5</v>
      </c>
      <c r="BF14" s="62">
        <v>16</v>
      </c>
      <c r="BG14" s="143">
        <f>1.5+1+1.5+1.5+12</f>
        <v>17.5</v>
      </c>
      <c r="BH14" s="13">
        <f t="shared" si="13"/>
        <v>26</v>
      </c>
      <c r="BI14" s="62">
        <v>16</v>
      </c>
      <c r="BJ14" s="143">
        <f>3+0.5+0.5+0.5+0.5+0.5+8</f>
        <v>13.5</v>
      </c>
      <c r="BK14" s="13">
        <f t="shared" si="14"/>
        <v>28.5</v>
      </c>
      <c r="BL14" s="62">
        <v>16</v>
      </c>
      <c r="BM14" s="143">
        <f>1+7</f>
        <v>8</v>
      </c>
      <c r="BN14" s="13">
        <f t="shared" si="15"/>
        <v>36.5</v>
      </c>
      <c r="BO14" s="62"/>
      <c r="BP14" s="143"/>
      <c r="BQ14" s="13">
        <f t="shared" si="16"/>
        <v>36.5</v>
      </c>
      <c r="BR14" s="62">
        <v>24</v>
      </c>
      <c r="BS14" s="143">
        <f>1.5+10</f>
        <v>11.5</v>
      </c>
      <c r="BT14" s="13">
        <f t="shared" si="17"/>
        <v>49</v>
      </c>
      <c r="BU14" s="62"/>
      <c r="BV14" s="143">
        <f>2+10</f>
        <v>12</v>
      </c>
      <c r="BW14" s="13">
        <f t="shared" si="18"/>
        <v>37</v>
      </c>
      <c r="BX14" s="62"/>
      <c r="BY14" s="143">
        <f>3+1+2+2</f>
        <v>8</v>
      </c>
      <c r="BZ14" s="13">
        <f t="shared" si="19"/>
        <v>29</v>
      </c>
      <c r="CA14" s="62">
        <v>16</v>
      </c>
      <c r="CB14" s="143">
        <f>2+1+10</f>
        <v>13</v>
      </c>
      <c r="CC14" s="13">
        <f t="shared" si="20"/>
        <v>32</v>
      </c>
      <c r="CD14" s="61">
        <v>16</v>
      </c>
      <c r="CE14" s="143">
        <f>3+1+1+0.5+0.5+0.5+0.5+1+8</f>
        <v>16</v>
      </c>
      <c r="CF14" s="13">
        <f t="shared" si="21"/>
        <v>32</v>
      </c>
      <c r="CG14" s="61">
        <v>16</v>
      </c>
      <c r="CH14" s="143">
        <f>20</f>
        <v>20</v>
      </c>
      <c r="CI14" s="13">
        <f t="shared" si="31"/>
        <v>28</v>
      </c>
      <c r="CJ14" s="61"/>
      <c r="CK14" s="143"/>
      <c r="CL14" s="13">
        <f t="shared" si="32"/>
        <v>28</v>
      </c>
      <c r="CM14" s="62">
        <v>16</v>
      </c>
      <c r="CN14" s="143">
        <f>1.5+1+1+1+1+12</f>
        <v>17.5</v>
      </c>
      <c r="CO14" s="13">
        <f t="shared" si="22"/>
        <v>26.5</v>
      </c>
      <c r="CP14" s="62">
        <f>-2+16</f>
        <v>14</v>
      </c>
      <c r="CQ14" s="143">
        <f>2+1.5+1+2+1+0.5+16</f>
        <v>24</v>
      </c>
      <c r="CR14" s="13">
        <f t="shared" si="33"/>
        <v>16.5</v>
      </c>
      <c r="CS14" s="62"/>
      <c r="CT14" s="143"/>
      <c r="CU14" s="14">
        <f t="shared" si="23"/>
        <v>16.5</v>
      </c>
      <c r="CV14" s="5">
        <f t="shared" si="24"/>
        <v>334</v>
      </c>
      <c r="CW14" s="4">
        <f t="shared" si="24"/>
        <v>336</v>
      </c>
      <c r="CX14" s="6">
        <f t="shared" si="25"/>
        <v>16.5</v>
      </c>
      <c r="CY14" s="162">
        <v>175</v>
      </c>
      <c r="CZ14" s="171">
        <f t="shared" si="26"/>
        <v>2887.5</v>
      </c>
      <c r="DB14" s="2">
        <f t="shared" si="34"/>
        <v>16.5</v>
      </c>
      <c r="DC14" s="62"/>
      <c r="DD14" s="143"/>
      <c r="DE14" s="149">
        <f t="shared" si="35"/>
        <v>16.5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93</v>
      </c>
      <c r="G15" s="62">
        <v>90</v>
      </c>
      <c r="H15" s="143">
        <f>9+7+7+4+16+1</f>
        <v>44</v>
      </c>
      <c r="I15" s="13">
        <f t="shared" si="0"/>
        <v>139</v>
      </c>
      <c r="J15" s="62">
        <v>45</v>
      </c>
      <c r="K15" s="143">
        <f>20+11+10+9+1+5+11+3+2</f>
        <v>72</v>
      </c>
      <c r="L15" s="13">
        <f t="shared" si="1"/>
        <v>112</v>
      </c>
      <c r="M15" s="62"/>
      <c r="N15" s="143">
        <f>9+8+3+8</f>
        <v>28</v>
      </c>
      <c r="O15" s="13">
        <f t="shared" si="2"/>
        <v>84</v>
      </c>
      <c r="P15" s="62">
        <v>45</v>
      </c>
      <c r="Q15" s="143">
        <f>6+5</f>
        <v>11</v>
      </c>
      <c r="R15" s="30">
        <f t="shared" si="3"/>
        <v>118</v>
      </c>
      <c r="S15" s="62"/>
      <c r="T15" s="143">
        <f>30+2+2+2+1</f>
        <v>37</v>
      </c>
      <c r="U15" s="13">
        <f t="shared" si="4"/>
        <v>81</v>
      </c>
      <c r="V15" s="62">
        <v>45</v>
      </c>
      <c r="W15" s="143"/>
      <c r="X15" s="13">
        <f t="shared" si="5"/>
        <v>126</v>
      </c>
      <c r="Y15" s="62"/>
      <c r="Z15" s="143"/>
      <c r="AA15" s="13">
        <f t="shared" si="27"/>
        <v>126</v>
      </c>
      <c r="AB15" s="64">
        <v>10</v>
      </c>
      <c r="AC15" s="143">
        <f>9+7+3</f>
        <v>19</v>
      </c>
      <c r="AD15" s="13">
        <f t="shared" si="28"/>
        <v>117</v>
      </c>
      <c r="AE15" s="61">
        <v>90</v>
      </c>
      <c r="AF15" s="143">
        <f>20+18+7+7+7+4+2</f>
        <v>65</v>
      </c>
      <c r="AG15" s="13">
        <f t="shared" si="29"/>
        <v>142</v>
      </c>
      <c r="AH15" s="62"/>
      <c r="AI15" s="199">
        <f>10+7+8+14+11</f>
        <v>50</v>
      </c>
      <c r="AJ15" s="13">
        <f t="shared" si="30"/>
        <v>92</v>
      </c>
      <c r="AK15" s="61">
        <v>45</v>
      </c>
      <c r="AL15" s="143">
        <f>13+5</f>
        <v>18</v>
      </c>
      <c r="AM15" s="13">
        <f t="shared" si="6"/>
        <v>119</v>
      </c>
      <c r="AN15" s="202"/>
      <c r="AO15" s="143">
        <f>30+2+4+2</f>
        <v>38</v>
      </c>
      <c r="AP15" s="13">
        <f t="shared" si="7"/>
        <v>81</v>
      </c>
      <c r="AQ15" s="62">
        <v>90</v>
      </c>
      <c r="AR15" s="143">
        <f>5</f>
        <v>5</v>
      </c>
      <c r="AS15" s="13">
        <f t="shared" si="8"/>
        <v>166</v>
      </c>
      <c r="AT15" s="202"/>
      <c r="AU15" s="143"/>
      <c r="AV15" s="13">
        <f t="shared" si="9"/>
        <v>166</v>
      </c>
      <c r="AW15" s="64"/>
      <c r="AX15" s="143">
        <v>2</v>
      </c>
      <c r="AY15" s="13">
        <f t="shared" si="10"/>
        <v>164</v>
      </c>
      <c r="AZ15" s="62">
        <v>45</v>
      </c>
      <c r="BA15" s="143">
        <f>13+7+13+10+14+4+20+2+4+5</f>
        <v>92</v>
      </c>
      <c r="BB15" s="13">
        <f t="shared" si="11"/>
        <v>117</v>
      </c>
      <c r="BC15" s="62">
        <v>36</v>
      </c>
      <c r="BD15" s="143">
        <f>9+9+7+8+7</f>
        <v>40</v>
      </c>
      <c r="BE15" s="13">
        <f t="shared" si="12"/>
        <v>113</v>
      </c>
      <c r="BF15" s="62">
        <f>90</f>
        <v>90</v>
      </c>
      <c r="BG15" s="143">
        <f>20+8+9+5+7+7+11</f>
        <v>67</v>
      </c>
      <c r="BH15" s="13">
        <f t="shared" si="13"/>
        <v>136</v>
      </c>
      <c r="BI15" s="62">
        <v>90</v>
      </c>
      <c r="BJ15" s="143">
        <f>40+2+2+2+2</f>
        <v>48</v>
      </c>
      <c r="BK15" s="13">
        <f t="shared" si="14"/>
        <v>178</v>
      </c>
      <c r="BL15" s="62"/>
      <c r="BM15" s="143">
        <f>11+2+2</f>
        <v>15</v>
      </c>
      <c r="BN15" s="13">
        <f t="shared" si="15"/>
        <v>163</v>
      </c>
      <c r="BO15" s="62"/>
      <c r="BP15" s="143"/>
      <c r="BQ15" s="13">
        <f t="shared" si="16"/>
        <v>163</v>
      </c>
      <c r="BR15" s="62">
        <v>45</v>
      </c>
      <c r="BS15" s="143">
        <f>13+18+2+2</f>
        <v>35</v>
      </c>
      <c r="BT15" s="13">
        <f t="shared" si="17"/>
        <v>173</v>
      </c>
      <c r="BU15" s="62"/>
      <c r="BV15" s="143">
        <f>2</f>
        <v>2</v>
      </c>
      <c r="BW15" s="13">
        <f t="shared" si="18"/>
        <v>171</v>
      </c>
      <c r="BX15" s="62"/>
      <c r="BY15" s="143">
        <f>9+6+7+8+11+4+12+3</f>
        <v>60</v>
      </c>
      <c r="BZ15" s="13">
        <f t="shared" si="19"/>
        <v>111</v>
      </c>
      <c r="CA15" s="62">
        <f>45+15</f>
        <v>60</v>
      </c>
      <c r="CB15" s="143">
        <f>20+13+5+2+12+2+2</f>
        <v>56</v>
      </c>
      <c r="CC15" s="13">
        <f t="shared" si="20"/>
        <v>115</v>
      </c>
      <c r="CD15" s="61">
        <v>45</v>
      </c>
      <c r="CE15" s="143">
        <f>30+2+2+2</f>
        <v>36</v>
      </c>
      <c r="CF15" s="13">
        <f t="shared" si="21"/>
        <v>124</v>
      </c>
      <c r="CG15" s="61"/>
      <c r="CH15" s="143">
        <f>7+12+2</f>
        <v>21</v>
      </c>
      <c r="CI15" s="13">
        <f t="shared" si="31"/>
        <v>103</v>
      </c>
      <c r="CJ15" s="61"/>
      <c r="CK15" s="143"/>
      <c r="CL15" s="13">
        <f t="shared" si="32"/>
        <v>103</v>
      </c>
      <c r="CM15" s="62"/>
      <c r="CN15" s="143">
        <f>9+8+5+4+4+4</f>
        <v>34</v>
      </c>
      <c r="CO15" s="13">
        <f t="shared" si="22"/>
        <v>69</v>
      </c>
      <c r="CP15" s="62"/>
      <c r="CQ15" s="143">
        <f>7+9+10</f>
        <v>26</v>
      </c>
      <c r="CR15" s="13">
        <f t="shared" si="33"/>
        <v>43</v>
      </c>
      <c r="CS15" s="62"/>
      <c r="CT15" s="143"/>
      <c r="CU15" s="14">
        <f t="shared" si="23"/>
        <v>43</v>
      </c>
      <c r="CV15" s="5">
        <f t="shared" si="24"/>
        <v>871</v>
      </c>
      <c r="CW15" s="4">
        <f t="shared" si="24"/>
        <v>921</v>
      </c>
      <c r="CX15" s="6">
        <f t="shared" si="25"/>
        <v>43</v>
      </c>
      <c r="CY15" s="162">
        <v>71</v>
      </c>
      <c r="CZ15" s="171">
        <f t="shared" si="26"/>
        <v>3053</v>
      </c>
      <c r="DB15" s="2">
        <f t="shared" si="34"/>
        <v>43</v>
      </c>
      <c r="DC15" s="62"/>
      <c r="DD15" s="143"/>
      <c r="DE15" s="149">
        <f t="shared" si="35"/>
        <v>43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27</v>
      </c>
      <c r="G16" s="176">
        <f>-2+40</f>
        <v>38</v>
      </c>
      <c r="H16" s="143">
        <f>6+5+7+7+2</f>
        <v>27</v>
      </c>
      <c r="I16" s="13">
        <f t="shared" si="0"/>
        <v>38</v>
      </c>
      <c r="J16" s="176">
        <v>20</v>
      </c>
      <c r="K16" s="143">
        <f>5+4+9+3+4+5+2</f>
        <v>32</v>
      </c>
      <c r="L16" s="13">
        <f t="shared" si="1"/>
        <v>26</v>
      </c>
      <c r="M16" s="176"/>
      <c r="N16" s="143"/>
      <c r="O16" s="13">
        <f t="shared" si="2"/>
        <v>26</v>
      </c>
      <c r="P16" s="176">
        <v>15</v>
      </c>
      <c r="Q16" s="143">
        <f>5+5+4+2</f>
        <v>16</v>
      </c>
      <c r="R16" s="30">
        <f t="shared" si="3"/>
        <v>25</v>
      </c>
      <c r="S16" s="176">
        <v>4</v>
      </c>
      <c r="T16" s="143">
        <f>9+1+1+1+1+2</f>
        <v>15</v>
      </c>
      <c r="U16" s="13">
        <f t="shared" si="4"/>
        <v>14</v>
      </c>
      <c r="V16" s="176">
        <v>20</v>
      </c>
      <c r="W16" s="143">
        <f>4+4</f>
        <v>8</v>
      </c>
      <c r="X16" s="13">
        <f t="shared" si="5"/>
        <v>26</v>
      </c>
      <c r="Y16" s="176"/>
      <c r="Z16" s="143"/>
      <c r="AA16" s="13">
        <f t="shared" si="27"/>
        <v>26</v>
      </c>
      <c r="AB16" s="176"/>
      <c r="AC16" s="143">
        <f>8+4+5+2</f>
        <v>19</v>
      </c>
      <c r="AD16" s="13">
        <f t="shared" si="28"/>
        <v>7</v>
      </c>
      <c r="AE16" s="63">
        <v>25</v>
      </c>
      <c r="AF16" s="143">
        <f>2</f>
        <v>2</v>
      </c>
      <c r="AG16" s="13">
        <f t="shared" si="29"/>
        <v>30</v>
      </c>
      <c r="AH16" s="176"/>
      <c r="AI16" s="199">
        <f>5+11</f>
        <v>16</v>
      </c>
      <c r="AJ16" s="13">
        <f t="shared" si="30"/>
        <v>14</v>
      </c>
      <c r="AK16" s="63">
        <v>20</v>
      </c>
      <c r="AL16" s="143">
        <f>6+2</f>
        <v>8</v>
      </c>
      <c r="AM16" s="13">
        <f t="shared" si="6"/>
        <v>26</v>
      </c>
      <c r="AN16" s="63"/>
      <c r="AO16" s="143">
        <f>5+1+8+3</f>
        <v>17</v>
      </c>
      <c r="AP16" s="13">
        <f t="shared" si="7"/>
        <v>9</v>
      </c>
      <c r="AQ16" s="176">
        <v>40</v>
      </c>
      <c r="AR16" s="190">
        <f>6+2</f>
        <v>8</v>
      </c>
      <c r="AS16" s="13">
        <f t="shared" si="8"/>
        <v>41</v>
      </c>
      <c r="AT16" s="63"/>
      <c r="AU16" s="143"/>
      <c r="AV16" s="13">
        <f t="shared" si="9"/>
        <v>41</v>
      </c>
      <c r="AW16" s="176"/>
      <c r="AX16" s="143"/>
      <c r="AY16" s="13">
        <f t="shared" si="10"/>
        <v>41</v>
      </c>
      <c r="AZ16" s="176"/>
      <c r="BA16" s="143">
        <f>8+9+7+5+4</f>
        <v>33</v>
      </c>
      <c r="BB16" s="13">
        <f t="shared" si="11"/>
        <v>8</v>
      </c>
      <c r="BC16" s="176"/>
      <c r="BD16" s="143"/>
      <c r="BE16" s="13">
        <f t="shared" si="12"/>
        <v>8</v>
      </c>
      <c r="BF16" s="176">
        <f>-12+30</f>
        <v>18</v>
      </c>
      <c r="BG16" s="143">
        <f>4</f>
        <v>4</v>
      </c>
      <c r="BH16" s="13">
        <f t="shared" si="13"/>
        <v>22</v>
      </c>
      <c r="BI16" s="176"/>
      <c r="BJ16" s="143">
        <f>1+1+2+9+1</f>
        <v>14</v>
      </c>
      <c r="BK16" s="13">
        <f t="shared" si="14"/>
        <v>8</v>
      </c>
      <c r="BL16" s="176">
        <v>10</v>
      </c>
      <c r="BM16" s="143">
        <v>2</v>
      </c>
      <c r="BN16" s="13">
        <f t="shared" si="15"/>
        <v>16</v>
      </c>
      <c r="BO16" s="176"/>
      <c r="BP16" s="143"/>
      <c r="BQ16" s="13">
        <f t="shared" si="16"/>
        <v>16</v>
      </c>
      <c r="BR16" s="176">
        <v>30</v>
      </c>
      <c r="BS16" s="143">
        <f>8+2</f>
        <v>10</v>
      </c>
      <c r="BT16" s="13">
        <f t="shared" si="17"/>
        <v>36</v>
      </c>
      <c r="BU16" s="176"/>
      <c r="BV16" s="143">
        <f>2</f>
        <v>2</v>
      </c>
      <c r="BW16" s="13">
        <f t="shared" si="18"/>
        <v>34</v>
      </c>
      <c r="BX16" s="176"/>
      <c r="BY16" s="143">
        <f>11+2+2+5</f>
        <v>20</v>
      </c>
      <c r="BZ16" s="13">
        <f t="shared" si="19"/>
        <v>14</v>
      </c>
      <c r="CA16" s="176">
        <v>25</v>
      </c>
      <c r="CB16" s="143">
        <f>4+1</f>
        <v>5</v>
      </c>
      <c r="CC16" s="13">
        <f t="shared" si="20"/>
        <v>34</v>
      </c>
      <c r="CD16" s="63">
        <v>25</v>
      </c>
      <c r="CE16" s="143">
        <f>8+1+13+3+1+2</f>
        <v>28</v>
      </c>
      <c r="CF16" s="13">
        <f t="shared" si="21"/>
        <v>31</v>
      </c>
      <c r="CG16" s="63">
        <v>25</v>
      </c>
      <c r="CH16" s="143">
        <f>4+8</f>
        <v>12</v>
      </c>
      <c r="CI16" s="13">
        <f t="shared" si="31"/>
        <v>44</v>
      </c>
      <c r="CJ16" s="63"/>
      <c r="CK16" s="143"/>
      <c r="CL16" s="13">
        <f t="shared" si="32"/>
        <v>44</v>
      </c>
      <c r="CM16" s="176"/>
      <c r="CN16" s="143">
        <f>8+4+9+2</f>
        <v>23</v>
      </c>
      <c r="CO16" s="13">
        <f t="shared" si="22"/>
        <v>21</v>
      </c>
      <c r="CP16" s="176">
        <v>10</v>
      </c>
      <c r="CQ16" s="143">
        <f>5+5+2</f>
        <v>12</v>
      </c>
      <c r="CR16" s="13">
        <f t="shared" si="33"/>
        <v>19</v>
      </c>
      <c r="CS16" s="176"/>
      <c r="CT16" s="143"/>
      <c r="CU16" s="14">
        <f t="shared" si="23"/>
        <v>19</v>
      </c>
      <c r="CV16" s="5">
        <f t="shared" si="24"/>
        <v>325</v>
      </c>
      <c r="CW16" s="4">
        <f t="shared" si="24"/>
        <v>333</v>
      </c>
      <c r="CX16" s="6">
        <f t="shared" si="25"/>
        <v>19</v>
      </c>
      <c r="CY16" s="162">
        <v>120</v>
      </c>
      <c r="CZ16" s="171">
        <f t="shared" si="26"/>
        <v>2280</v>
      </c>
      <c r="DB16" s="2">
        <f t="shared" si="34"/>
        <v>19</v>
      </c>
      <c r="DC16" s="176"/>
      <c r="DD16" s="143"/>
      <c r="DE16" s="149">
        <f t="shared" si="35"/>
        <v>19</v>
      </c>
    </row>
    <row r="17" spans="1:109" ht="15.75" customHeight="1">
      <c r="A17" s="33"/>
      <c r="B17" s="49" t="s">
        <v>46</v>
      </c>
      <c r="C17" s="108" t="s">
        <v>47</v>
      </c>
      <c r="D17" s="52" t="s">
        <v>57</v>
      </c>
      <c r="E17" s="52" t="s">
        <v>47</v>
      </c>
      <c r="F17" s="14">
        <v>15</v>
      </c>
      <c r="G17" s="62">
        <f>-15+15+20+10</f>
        <v>30</v>
      </c>
      <c r="H17" s="143">
        <f>3+12</f>
        <v>15</v>
      </c>
      <c r="I17" s="13">
        <f t="shared" si="0"/>
        <v>30</v>
      </c>
      <c r="J17" s="62">
        <f>-3+15</f>
        <v>12</v>
      </c>
      <c r="K17" s="143">
        <f>4+25+1</f>
        <v>30</v>
      </c>
      <c r="L17" s="13">
        <f t="shared" si="1"/>
        <v>12</v>
      </c>
      <c r="M17" s="62"/>
      <c r="N17" s="143"/>
      <c r="O17" s="13">
        <f t="shared" si="2"/>
        <v>12</v>
      </c>
      <c r="P17" s="62">
        <f>-7+15+30+10-4</f>
        <v>44</v>
      </c>
      <c r="Q17" s="143">
        <f>4+8</f>
        <v>12</v>
      </c>
      <c r="R17" s="30">
        <f t="shared" si="3"/>
        <v>44</v>
      </c>
      <c r="S17" s="62">
        <f>15+10</f>
        <v>25</v>
      </c>
      <c r="T17" s="143">
        <f>4+17+7</f>
        <v>28</v>
      </c>
      <c r="U17" s="13">
        <f t="shared" si="4"/>
        <v>41</v>
      </c>
      <c r="V17" s="62">
        <f>15+33</f>
        <v>48</v>
      </c>
      <c r="W17" s="143">
        <f>5+32</f>
        <v>37</v>
      </c>
      <c r="X17" s="13">
        <f t="shared" si="5"/>
        <v>52</v>
      </c>
      <c r="Y17" s="62"/>
      <c r="Z17" s="143"/>
      <c r="AA17" s="13">
        <f t="shared" si="27"/>
        <v>52</v>
      </c>
      <c r="AB17" s="62">
        <v>15</v>
      </c>
      <c r="AC17" s="143">
        <f>5+11</f>
        <v>16</v>
      </c>
      <c r="AD17" s="13">
        <f t="shared" si="28"/>
        <v>51</v>
      </c>
      <c r="AE17" s="61">
        <f>15+15</f>
        <v>30</v>
      </c>
      <c r="AF17" s="143">
        <f>3+37+7</f>
        <v>47</v>
      </c>
      <c r="AG17" s="13">
        <f t="shared" si="29"/>
        <v>34</v>
      </c>
      <c r="AH17" s="62"/>
      <c r="AI17" s="199"/>
      <c r="AJ17" s="13">
        <f t="shared" si="30"/>
        <v>34</v>
      </c>
      <c r="AK17" s="61">
        <v>15</v>
      </c>
      <c r="AL17" s="143">
        <f>2+10</f>
        <v>12</v>
      </c>
      <c r="AM17" s="13">
        <f t="shared" si="6"/>
        <v>37</v>
      </c>
      <c r="AN17" s="61">
        <f>15+20</f>
        <v>35</v>
      </c>
      <c r="AO17" s="143">
        <f>4+18</f>
        <v>22</v>
      </c>
      <c r="AP17" s="13">
        <f t="shared" si="7"/>
        <v>50</v>
      </c>
      <c r="AQ17" s="62">
        <f>-7+15+20+22+15</f>
        <v>65</v>
      </c>
      <c r="AR17" s="143">
        <f>6+42+2</f>
        <v>50</v>
      </c>
      <c r="AS17" s="13">
        <f t="shared" si="8"/>
        <v>65</v>
      </c>
      <c r="AT17" s="61"/>
      <c r="AU17" s="143"/>
      <c r="AV17" s="13">
        <f t="shared" si="9"/>
        <v>65</v>
      </c>
      <c r="AW17" s="62"/>
      <c r="AX17" s="143">
        <f>4+34+2</f>
        <v>40</v>
      </c>
      <c r="AY17" s="13">
        <f t="shared" si="10"/>
        <v>25</v>
      </c>
      <c r="AZ17" s="62">
        <f>-8+15+14</f>
        <v>21</v>
      </c>
      <c r="BA17" s="143">
        <f>6+19</f>
        <v>25</v>
      </c>
      <c r="BB17" s="13">
        <f t="shared" si="11"/>
        <v>21</v>
      </c>
      <c r="BC17" s="62"/>
      <c r="BD17" s="143"/>
      <c r="BE17" s="13">
        <f t="shared" si="12"/>
        <v>21</v>
      </c>
      <c r="BF17" s="62">
        <f>-1+15+15</f>
        <v>29</v>
      </c>
      <c r="BG17" s="143">
        <f>20+1</f>
        <v>21</v>
      </c>
      <c r="BH17" s="13">
        <f t="shared" si="13"/>
        <v>29</v>
      </c>
      <c r="BI17" s="62">
        <f>15+20</f>
        <v>35</v>
      </c>
      <c r="BJ17" s="143">
        <v>14</v>
      </c>
      <c r="BK17" s="13">
        <f t="shared" si="14"/>
        <v>50</v>
      </c>
      <c r="BL17" s="62">
        <f>15+23</f>
        <v>38</v>
      </c>
      <c r="BM17" s="143">
        <f>6+34</f>
        <v>40</v>
      </c>
      <c r="BN17" s="13">
        <f t="shared" si="15"/>
        <v>48</v>
      </c>
      <c r="BO17" s="62"/>
      <c r="BP17" s="143"/>
      <c r="BQ17" s="13">
        <f t="shared" si="16"/>
        <v>48</v>
      </c>
      <c r="BR17" s="62">
        <f>15+20+15</f>
        <v>50</v>
      </c>
      <c r="BS17" s="143">
        <f>4+33+1</f>
        <v>38</v>
      </c>
      <c r="BT17" s="13">
        <f t="shared" si="17"/>
        <v>60</v>
      </c>
      <c r="BU17" s="62"/>
      <c r="BV17" s="143">
        <f>5+34+1</f>
        <v>40</v>
      </c>
      <c r="BW17" s="13">
        <f t="shared" si="18"/>
        <v>20</v>
      </c>
      <c r="BX17" s="62">
        <f>20+15</f>
        <v>35</v>
      </c>
      <c r="BY17" s="143"/>
      <c r="BZ17" s="13">
        <f t="shared" si="19"/>
        <v>55</v>
      </c>
      <c r="CA17" s="62">
        <f>15+18</f>
        <v>33</v>
      </c>
      <c r="CB17" s="143">
        <f>4+31</f>
        <v>35</v>
      </c>
      <c r="CC17" s="13">
        <f t="shared" si="20"/>
        <v>53</v>
      </c>
      <c r="CD17" s="61">
        <f>15+15</f>
        <v>30</v>
      </c>
      <c r="CE17" s="143">
        <f>4+28</f>
        <v>32</v>
      </c>
      <c r="CF17" s="13">
        <f t="shared" si="21"/>
        <v>51</v>
      </c>
      <c r="CG17" s="61">
        <f>15+10</f>
        <v>25</v>
      </c>
      <c r="CH17" s="143">
        <f>6+44</f>
        <v>50</v>
      </c>
      <c r="CI17" s="13">
        <f t="shared" si="31"/>
        <v>26</v>
      </c>
      <c r="CJ17" s="61"/>
      <c r="CK17" s="143"/>
      <c r="CL17" s="13">
        <f t="shared" si="32"/>
        <v>26</v>
      </c>
      <c r="CM17" s="62">
        <f>10+15+10</f>
        <v>35</v>
      </c>
      <c r="CN17" s="143">
        <f>4+15</f>
        <v>19</v>
      </c>
      <c r="CO17" s="13">
        <f t="shared" si="22"/>
        <v>42</v>
      </c>
      <c r="CP17" s="62">
        <v>15</v>
      </c>
      <c r="CQ17" s="143">
        <f>25+3</f>
        <v>28</v>
      </c>
      <c r="CR17" s="13">
        <f t="shared" si="33"/>
        <v>29</v>
      </c>
      <c r="CS17" s="62"/>
      <c r="CT17" s="143"/>
      <c r="CU17" s="14">
        <f t="shared" si="23"/>
        <v>29</v>
      </c>
      <c r="CV17" s="5">
        <f t="shared" si="24"/>
        <v>665</v>
      </c>
      <c r="CW17" s="4">
        <f t="shared" si="24"/>
        <v>651</v>
      </c>
      <c r="CX17" s="6">
        <f t="shared" si="25"/>
        <v>29</v>
      </c>
      <c r="CY17" s="162">
        <v>200</v>
      </c>
      <c r="CZ17" s="171">
        <f t="shared" si="26"/>
        <v>5800</v>
      </c>
      <c r="DB17" s="2">
        <f t="shared" si="34"/>
        <v>29</v>
      </c>
      <c r="DC17" s="62"/>
      <c r="DD17" s="143"/>
      <c r="DE17" s="149">
        <f t="shared" si="35"/>
        <v>29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2.3999999999999995</v>
      </c>
      <c r="G18" s="62">
        <v>4</v>
      </c>
      <c r="H18" s="143"/>
      <c r="I18" s="13">
        <f t="shared" si="0"/>
        <v>6.3999999999999995</v>
      </c>
      <c r="J18" s="62"/>
      <c r="K18" s="143">
        <f>5.7</f>
        <v>5.7</v>
      </c>
      <c r="L18" s="13">
        <f t="shared" si="1"/>
        <v>0.69999999999999929</v>
      </c>
      <c r="M18" s="62"/>
      <c r="N18" s="143"/>
      <c r="O18" s="13">
        <f t="shared" si="2"/>
        <v>0.69999999999999929</v>
      </c>
      <c r="P18" s="62">
        <f>12+3</f>
        <v>15</v>
      </c>
      <c r="Q18" s="143"/>
      <c r="R18" s="30">
        <f t="shared" si="3"/>
        <v>15.7</v>
      </c>
      <c r="S18" s="62"/>
      <c r="T18" s="143">
        <f>1+8.2</f>
        <v>9.1999999999999993</v>
      </c>
      <c r="U18" s="13">
        <f t="shared" si="4"/>
        <v>6.5</v>
      </c>
      <c r="V18" s="62"/>
      <c r="W18" s="143">
        <f>1.7</f>
        <v>1.7</v>
      </c>
      <c r="X18" s="13">
        <f t="shared" si="5"/>
        <v>4.8</v>
      </c>
      <c r="Y18" s="62"/>
      <c r="Z18" s="143"/>
      <c r="AA18" s="13">
        <f t="shared" si="27"/>
        <v>4.8</v>
      </c>
      <c r="AB18" s="62"/>
      <c r="AC18" s="143">
        <f>1.6</f>
        <v>1.6</v>
      </c>
      <c r="AD18" s="13">
        <f t="shared" si="28"/>
        <v>3.1999999999999997</v>
      </c>
      <c r="AE18" s="61">
        <f>16+2</f>
        <v>18</v>
      </c>
      <c r="AF18" s="143"/>
      <c r="AG18" s="13">
        <f t="shared" si="29"/>
        <v>21.2</v>
      </c>
      <c r="AH18" s="62"/>
      <c r="AI18" s="199"/>
      <c r="AJ18" s="13">
        <f t="shared" si="30"/>
        <v>21.2</v>
      </c>
      <c r="AK18" s="61">
        <v>4.5</v>
      </c>
      <c r="AL18" s="143">
        <f>4.1+4.4+2+4.1+5.5</f>
        <v>20.100000000000001</v>
      </c>
      <c r="AM18" s="13">
        <f t="shared" si="6"/>
        <v>5.5999999999999979</v>
      </c>
      <c r="AN18" s="202">
        <v>12</v>
      </c>
      <c r="AO18" s="143">
        <f>0.5</f>
        <v>0.5</v>
      </c>
      <c r="AP18" s="13">
        <f t="shared" si="7"/>
        <v>17.099999999999998</v>
      </c>
      <c r="AQ18" s="62"/>
      <c r="AR18" s="143"/>
      <c r="AS18" s="13">
        <f t="shared" si="8"/>
        <v>17.099999999999998</v>
      </c>
      <c r="AT18" s="202"/>
      <c r="AU18" s="143"/>
      <c r="AV18" s="13">
        <f t="shared" si="9"/>
        <v>17.099999999999998</v>
      </c>
      <c r="AW18" s="62"/>
      <c r="AX18" s="143"/>
      <c r="AY18" s="13">
        <f t="shared" si="10"/>
        <v>17.099999999999998</v>
      </c>
      <c r="AZ18" s="62">
        <v>8</v>
      </c>
      <c r="BA18" s="143">
        <f>5.7+5.2+4.5</f>
        <v>15.4</v>
      </c>
      <c r="BB18" s="13">
        <f t="shared" si="11"/>
        <v>9.6999999999999975</v>
      </c>
      <c r="BC18" s="62">
        <v>2</v>
      </c>
      <c r="BD18" s="143">
        <f>1.3+1.1</f>
        <v>2.4000000000000004</v>
      </c>
      <c r="BE18" s="13">
        <f t="shared" si="12"/>
        <v>9.2999999999999972</v>
      </c>
      <c r="BF18" s="62">
        <f>8+2</f>
        <v>10</v>
      </c>
      <c r="BG18" s="143">
        <v>3.7</v>
      </c>
      <c r="BH18" s="13">
        <f t="shared" si="13"/>
        <v>15.599999999999998</v>
      </c>
      <c r="BI18" s="62">
        <v>8</v>
      </c>
      <c r="BJ18" s="143">
        <f>4+8.7</f>
        <v>12.7</v>
      </c>
      <c r="BK18" s="13">
        <f t="shared" si="14"/>
        <v>10.899999999999999</v>
      </c>
      <c r="BL18" s="64">
        <v>2</v>
      </c>
      <c r="BM18" s="143">
        <f>2</f>
        <v>2</v>
      </c>
      <c r="BN18" s="13">
        <f t="shared" si="15"/>
        <v>10.899999999999999</v>
      </c>
      <c r="BO18" s="62"/>
      <c r="BP18" s="143"/>
      <c r="BQ18" s="13">
        <f t="shared" si="16"/>
        <v>10.899999999999999</v>
      </c>
      <c r="BR18" s="62"/>
      <c r="BS18" s="143">
        <f>1.6</f>
        <v>1.6</v>
      </c>
      <c r="BT18" s="13">
        <f t="shared" si="17"/>
        <v>9.2999999999999989</v>
      </c>
      <c r="BU18" s="62"/>
      <c r="BV18" s="143"/>
      <c r="BW18" s="13">
        <f t="shared" si="18"/>
        <v>9.2999999999999989</v>
      </c>
      <c r="BX18" s="62"/>
      <c r="BY18" s="143">
        <f>1.7+1.8</f>
        <v>3.5</v>
      </c>
      <c r="BZ18" s="13">
        <f t="shared" si="19"/>
        <v>5.7999999999999989</v>
      </c>
      <c r="CA18" s="62">
        <v>2</v>
      </c>
      <c r="CB18" s="143">
        <f>4</f>
        <v>4</v>
      </c>
      <c r="CC18" s="13">
        <f t="shared" si="20"/>
        <v>3.7999999999999989</v>
      </c>
      <c r="CD18" s="61"/>
      <c r="CE18" s="143">
        <f>0.5</f>
        <v>0.5</v>
      </c>
      <c r="CF18" s="13">
        <f t="shared" si="21"/>
        <v>3.2999999999999989</v>
      </c>
      <c r="CG18" s="61"/>
      <c r="CH18" s="143"/>
      <c r="CI18" s="13">
        <f t="shared" si="31"/>
        <v>3.2999999999999989</v>
      </c>
      <c r="CJ18" s="61"/>
      <c r="CK18" s="143"/>
      <c r="CL18" s="13">
        <f t="shared" si="32"/>
        <v>3.2999999999999989</v>
      </c>
      <c r="CM18" s="62">
        <v>2</v>
      </c>
      <c r="CN18" s="143">
        <f>2.5</f>
        <v>2.5</v>
      </c>
      <c r="CO18" s="13">
        <f t="shared" si="22"/>
        <v>2.7999999999999989</v>
      </c>
      <c r="CP18" s="62">
        <v>4</v>
      </c>
      <c r="CQ18" s="143"/>
      <c r="CR18" s="13">
        <f t="shared" si="33"/>
        <v>6.7999999999999989</v>
      </c>
      <c r="CS18" s="62"/>
      <c r="CT18" s="143"/>
      <c r="CU18" s="14">
        <f t="shared" si="23"/>
        <v>6.7999999999999989</v>
      </c>
      <c r="CV18" s="5">
        <f t="shared" si="24"/>
        <v>91.5</v>
      </c>
      <c r="CW18" s="4">
        <f t="shared" si="24"/>
        <v>87.1</v>
      </c>
      <c r="CX18" s="6">
        <f t="shared" si="25"/>
        <v>6.7999999999999989</v>
      </c>
      <c r="CY18" s="162">
        <v>500</v>
      </c>
      <c r="CZ18" s="171">
        <f t="shared" si="26"/>
        <v>3399.9999999999995</v>
      </c>
      <c r="DB18" s="2">
        <f t="shared" si="34"/>
        <v>6.7999999999999989</v>
      </c>
      <c r="DC18" s="62"/>
      <c r="DD18" s="143"/>
      <c r="DE18" s="149">
        <f t="shared" si="35"/>
        <v>6.7999999999999989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8.3000000000000007</v>
      </c>
      <c r="G19" s="62"/>
      <c r="H19" s="143">
        <v>5.6</v>
      </c>
      <c r="I19" s="13">
        <f t="shared" si="0"/>
        <v>2.7000000000000011</v>
      </c>
      <c r="J19" s="62"/>
      <c r="K19" s="143"/>
      <c r="L19" s="13">
        <f t="shared" si="1"/>
        <v>2.7000000000000011</v>
      </c>
      <c r="M19" s="62"/>
      <c r="N19" s="143"/>
      <c r="O19" s="13">
        <f t="shared" si="2"/>
        <v>2.7000000000000011</v>
      </c>
      <c r="P19" s="62"/>
      <c r="Q19" s="143"/>
      <c r="R19" s="30">
        <f t="shared" si="3"/>
        <v>2.7000000000000011</v>
      </c>
      <c r="S19" s="62"/>
      <c r="T19" s="143">
        <f>1.2</f>
        <v>1.2</v>
      </c>
      <c r="U19" s="13">
        <f t="shared" si="4"/>
        <v>1.5000000000000011</v>
      </c>
      <c r="V19" s="62">
        <v>4</v>
      </c>
      <c r="W19" s="143"/>
      <c r="X19" s="30">
        <f t="shared" si="5"/>
        <v>5.5000000000000009</v>
      </c>
      <c r="Y19" s="62"/>
      <c r="Z19" s="143"/>
      <c r="AA19" s="13">
        <f t="shared" si="27"/>
        <v>5.5000000000000009</v>
      </c>
      <c r="AB19" s="62"/>
      <c r="AC19" s="143">
        <v>4.0999999999999996</v>
      </c>
      <c r="AD19" s="13">
        <f t="shared" si="28"/>
        <v>1.4000000000000012</v>
      </c>
      <c r="AE19" s="61"/>
      <c r="AF19" s="143"/>
      <c r="AG19" s="13">
        <f t="shared" si="29"/>
        <v>1.4000000000000012</v>
      </c>
      <c r="AH19" s="62"/>
      <c r="AI19" s="199">
        <f>0.3</f>
        <v>0.3</v>
      </c>
      <c r="AJ19" s="13">
        <f t="shared" si="30"/>
        <v>1.1000000000000012</v>
      </c>
      <c r="AK19" s="61"/>
      <c r="AL19" s="143"/>
      <c r="AM19" s="13">
        <f t="shared" si="6"/>
        <v>1.1000000000000012</v>
      </c>
      <c r="AN19" s="183"/>
      <c r="AO19" s="143"/>
      <c r="AP19" s="13">
        <f t="shared" si="7"/>
        <v>1.1000000000000012</v>
      </c>
      <c r="AQ19" s="62"/>
      <c r="AR19" s="143"/>
      <c r="AS19" s="13">
        <f t="shared" si="8"/>
        <v>1.1000000000000012</v>
      </c>
      <c r="AT19" s="183"/>
      <c r="AU19" s="143"/>
      <c r="AV19" s="13">
        <f t="shared" si="9"/>
        <v>1.1000000000000012</v>
      </c>
      <c r="AW19" s="62"/>
      <c r="AX19" s="143"/>
      <c r="AY19" s="13">
        <f t="shared" si="10"/>
        <v>1.1000000000000012</v>
      </c>
      <c r="AZ19" s="62">
        <v>4</v>
      </c>
      <c r="BA19" s="143"/>
      <c r="BB19" s="13">
        <f t="shared" si="11"/>
        <v>5.1000000000000014</v>
      </c>
      <c r="BC19" s="62"/>
      <c r="BD19" s="143">
        <f>0.2</f>
        <v>0.2</v>
      </c>
      <c r="BE19" s="13">
        <f t="shared" si="12"/>
        <v>4.9000000000000012</v>
      </c>
      <c r="BF19" s="62">
        <v>3</v>
      </c>
      <c r="BG19" s="143"/>
      <c r="BH19" s="13">
        <f t="shared" si="13"/>
        <v>7.9000000000000012</v>
      </c>
      <c r="BI19" s="62">
        <v>4</v>
      </c>
      <c r="BJ19" s="143"/>
      <c r="BK19" s="13">
        <f t="shared" si="14"/>
        <v>11.900000000000002</v>
      </c>
      <c r="BL19" s="64">
        <f>-2.8+3</f>
        <v>0.20000000000000018</v>
      </c>
      <c r="BM19" s="143">
        <f>6</f>
        <v>6</v>
      </c>
      <c r="BN19" s="13">
        <f t="shared" si="15"/>
        <v>6.1000000000000014</v>
      </c>
      <c r="BO19" s="62"/>
      <c r="BP19" s="143"/>
      <c r="BQ19" s="13">
        <f t="shared" si="16"/>
        <v>6.1000000000000014</v>
      </c>
      <c r="BR19" s="62"/>
      <c r="BS19" s="143">
        <f>2.6</f>
        <v>2.6</v>
      </c>
      <c r="BT19" s="13">
        <f t="shared" si="17"/>
        <v>3.5000000000000013</v>
      </c>
      <c r="BU19" s="62"/>
      <c r="BV19" s="143"/>
      <c r="BW19" s="13">
        <f t="shared" si="18"/>
        <v>3.5000000000000013</v>
      </c>
      <c r="BX19" s="62"/>
      <c r="BY19" s="143"/>
      <c r="BZ19" s="13">
        <f t="shared" si="19"/>
        <v>3.5000000000000013</v>
      </c>
      <c r="CA19" s="62"/>
      <c r="CB19" s="143"/>
      <c r="CC19" s="13">
        <f t="shared" si="20"/>
        <v>3.5000000000000013</v>
      </c>
      <c r="CD19" s="61">
        <f>-2.1+4</f>
        <v>1.9</v>
      </c>
      <c r="CE19" s="143">
        <f>3.5</f>
        <v>3.5</v>
      </c>
      <c r="CF19" s="13">
        <f t="shared" si="21"/>
        <v>1.9000000000000012</v>
      </c>
      <c r="CG19" s="61"/>
      <c r="CH19" s="143">
        <f>0.2</f>
        <v>0.2</v>
      </c>
      <c r="CI19" s="13">
        <f t="shared" si="31"/>
        <v>1.7000000000000013</v>
      </c>
      <c r="CJ19" s="61"/>
      <c r="CK19" s="143"/>
      <c r="CL19" s="13">
        <f t="shared" si="32"/>
        <v>1.7000000000000013</v>
      </c>
      <c r="CM19" s="62">
        <v>4</v>
      </c>
      <c r="CN19" s="143">
        <f>0.2</f>
        <v>0.2</v>
      </c>
      <c r="CO19" s="13">
        <f t="shared" si="22"/>
        <v>5.5000000000000009</v>
      </c>
      <c r="CP19" s="62">
        <v>4</v>
      </c>
      <c r="CQ19" s="143">
        <v>4.9000000000000004</v>
      </c>
      <c r="CR19" s="13">
        <f>CO19+CP19-CQ19</f>
        <v>4.5999999999999996</v>
      </c>
      <c r="CS19" s="62"/>
      <c r="CT19" s="143"/>
      <c r="CU19" s="14">
        <f t="shared" si="23"/>
        <v>4.5999999999999996</v>
      </c>
      <c r="CV19" s="5">
        <f t="shared" si="24"/>
        <v>25.099999999999998</v>
      </c>
      <c r="CW19" s="4">
        <f t="shared" si="24"/>
        <v>28.799999999999997</v>
      </c>
      <c r="CX19" s="6">
        <f t="shared" si="25"/>
        <v>4.5999999999999996</v>
      </c>
      <c r="CY19" s="162">
        <v>500</v>
      </c>
      <c r="CZ19" s="171">
        <f t="shared" si="26"/>
        <v>2300</v>
      </c>
      <c r="DB19" s="2">
        <f t="shared" si="34"/>
        <v>4.5999999999999996</v>
      </c>
      <c r="DC19" s="62"/>
      <c r="DD19" s="143"/>
      <c r="DE19" s="149">
        <f t="shared" si="35"/>
        <v>4.5999999999999996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1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1"/>
      <c r="AL20" s="143"/>
      <c r="AM20" s="13">
        <f t="shared" si="6"/>
        <v>0</v>
      </c>
      <c r="AN20" s="61"/>
      <c r="AO20" s="143"/>
      <c r="AP20" s="13">
        <f t="shared" si="7"/>
        <v>0</v>
      </c>
      <c r="AQ20" s="62"/>
      <c r="AR20" s="143"/>
      <c r="AS20" s="13">
        <f t="shared" si="8"/>
        <v>0</v>
      </c>
      <c r="AT20" s="61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1"/>
      <c r="CE20" s="143"/>
      <c r="CF20" s="13">
        <f t="shared" si="21"/>
        <v>0</v>
      </c>
      <c r="CG20" s="61"/>
      <c r="CH20" s="143"/>
      <c r="CI20" s="13">
        <f t="shared" si="31"/>
        <v>0</v>
      </c>
      <c r="CJ20" s="61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2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1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1"/>
      <c r="AL21" s="143"/>
      <c r="AM21" s="13">
        <f t="shared" si="6"/>
        <v>0</v>
      </c>
      <c r="AN21" s="61"/>
      <c r="AO21" s="143"/>
      <c r="AP21" s="13">
        <f t="shared" si="7"/>
        <v>0</v>
      </c>
      <c r="AQ21" s="62"/>
      <c r="AR21" s="143"/>
      <c r="AS21" s="13">
        <f t="shared" si="8"/>
        <v>0</v>
      </c>
      <c r="AT21" s="61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1"/>
      <c r="CE21" s="143"/>
      <c r="CF21" s="13">
        <f t="shared" si="21"/>
        <v>0</v>
      </c>
      <c r="CG21" s="61"/>
      <c r="CH21" s="143"/>
      <c r="CI21" s="13">
        <f t="shared" si="31"/>
        <v>0</v>
      </c>
      <c r="CJ21" s="61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2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11.800000000000015</v>
      </c>
      <c r="G22" s="62"/>
      <c r="H22" s="143"/>
      <c r="I22" s="13">
        <f t="shared" si="0"/>
        <v>11.800000000000015</v>
      </c>
      <c r="J22" s="62">
        <v>10</v>
      </c>
      <c r="K22" s="143">
        <f>1.1+0.2+0.8</f>
        <v>2.1</v>
      </c>
      <c r="L22" s="13">
        <f t="shared" si="1"/>
        <v>19.700000000000014</v>
      </c>
      <c r="M22" s="62"/>
      <c r="N22" s="143">
        <f>2.9+2.2+1.2</f>
        <v>6.3</v>
      </c>
      <c r="O22" s="13">
        <f t="shared" si="2"/>
        <v>13.400000000000013</v>
      </c>
      <c r="P22" s="62"/>
      <c r="Q22" s="143">
        <f>1.9+3.4</f>
        <v>5.3</v>
      </c>
      <c r="R22" s="30">
        <f t="shared" si="3"/>
        <v>8.1000000000000121</v>
      </c>
      <c r="S22" s="62"/>
      <c r="T22" s="143">
        <f>0.4</f>
        <v>0.4</v>
      </c>
      <c r="U22" s="13">
        <f t="shared" si="4"/>
        <v>7.7000000000000117</v>
      </c>
      <c r="V22" s="62">
        <v>10</v>
      </c>
      <c r="W22" s="143">
        <v>0.4</v>
      </c>
      <c r="X22" s="13">
        <f t="shared" si="5"/>
        <v>17.300000000000011</v>
      </c>
      <c r="Y22" s="62"/>
      <c r="Z22" s="143"/>
      <c r="AA22" s="13">
        <f t="shared" si="27"/>
        <v>17.300000000000011</v>
      </c>
      <c r="AB22" s="62"/>
      <c r="AC22" s="143">
        <f>3.8</f>
        <v>3.8</v>
      </c>
      <c r="AD22" s="13">
        <f t="shared" si="28"/>
        <v>13.500000000000011</v>
      </c>
      <c r="AE22" s="61"/>
      <c r="AF22" s="143">
        <f>1.2+2.2</f>
        <v>3.4000000000000004</v>
      </c>
      <c r="AG22" s="13">
        <f t="shared" si="29"/>
        <v>10.10000000000001</v>
      </c>
      <c r="AH22" s="62"/>
      <c r="AI22" s="143">
        <f>0.6</f>
        <v>0.6</v>
      </c>
      <c r="AJ22" s="13">
        <f t="shared" si="30"/>
        <v>9.5000000000000107</v>
      </c>
      <c r="AK22" s="61">
        <v>10</v>
      </c>
      <c r="AL22" s="143">
        <f>0.8+3</f>
        <v>3.8</v>
      </c>
      <c r="AM22" s="13">
        <f t="shared" si="6"/>
        <v>15.70000000000001</v>
      </c>
      <c r="AN22" s="61"/>
      <c r="AO22" s="143">
        <f>1+0.2+2.2</f>
        <v>3.4000000000000004</v>
      </c>
      <c r="AP22" s="13">
        <f t="shared" si="7"/>
        <v>12.30000000000001</v>
      </c>
      <c r="AQ22" s="62"/>
      <c r="AR22" s="143"/>
      <c r="AS22" s="13">
        <f t="shared" si="8"/>
        <v>12.30000000000001</v>
      </c>
      <c r="AT22" s="61"/>
      <c r="AU22" s="143"/>
      <c r="AV22" s="13">
        <f t="shared" si="9"/>
        <v>12.30000000000001</v>
      </c>
      <c r="AW22" s="62"/>
      <c r="AX22" s="143"/>
      <c r="AY22" s="13">
        <f t="shared" si="10"/>
        <v>12.30000000000001</v>
      </c>
      <c r="AZ22" s="62">
        <v>10</v>
      </c>
      <c r="BA22" s="143">
        <f>0.2+0.2</f>
        <v>0.4</v>
      </c>
      <c r="BB22" s="13">
        <f t="shared" si="11"/>
        <v>21.900000000000013</v>
      </c>
      <c r="BC22" s="62"/>
      <c r="BD22" s="143">
        <f>2.9+1.2</f>
        <v>4.0999999999999996</v>
      </c>
      <c r="BE22" s="13">
        <f t="shared" si="12"/>
        <v>17.800000000000011</v>
      </c>
      <c r="BF22" s="62"/>
      <c r="BG22" s="143">
        <f>1.9</f>
        <v>1.9</v>
      </c>
      <c r="BH22" s="13">
        <f t="shared" si="13"/>
        <v>15.900000000000011</v>
      </c>
      <c r="BI22" s="62"/>
      <c r="BJ22" s="143">
        <f>0.4+0.8</f>
        <v>1.2000000000000002</v>
      </c>
      <c r="BK22" s="13">
        <f t="shared" si="14"/>
        <v>14.70000000000001</v>
      </c>
      <c r="BL22" s="62"/>
      <c r="BM22" s="143">
        <f>0.2</f>
        <v>0.2</v>
      </c>
      <c r="BN22" s="13">
        <f t="shared" si="15"/>
        <v>14.500000000000011</v>
      </c>
      <c r="BO22" s="62"/>
      <c r="BP22" s="143"/>
      <c r="BQ22" s="13">
        <f t="shared" si="16"/>
        <v>14.500000000000011</v>
      </c>
      <c r="BR22" s="62">
        <v>10</v>
      </c>
      <c r="BS22" s="143">
        <f>5.7</f>
        <v>5.7</v>
      </c>
      <c r="BT22" s="13">
        <f t="shared" si="17"/>
        <v>18.800000000000011</v>
      </c>
      <c r="BU22" s="62"/>
      <c r="BV22" s="143"/>
      <c r="BW22" s="13">
        <f t="shared" si="18"/>
        <v>18.800000000000011</v>
      </c>
      <c r="BX22" s="62"/>
      <c r="BY22" s="143">
        <f>0.2+2.3</f>
        <v>2.5</v>
      </c>
      <c r="BZ22" s="13">
        <f t="shared" si="19"/>
        <v>16.300000000000011</v>
      </c>
      <c r="CA22" s="62"/>
      <c r="CB22" s="143">
        <f>3</f>
        <v>3</v>
      </c>
      <c r="CC22" s="13">
        <f t="shared" si="20"/>
        <v>13.300000000000011</v>
      </c>
      <c r="CD22" s="62"/>
      <c r="CE22" s="143">
        <f>0.7+0.2</f>
        <v>0.89999999999999991</v>
      </c>
      <c r="CF22" s="13">
        <f t="shared" si="21"/>
        <v>12.400000000000011</v>
      </c>
      <c r="CG22" s="62"/>
      <c r="CH22" s="143"/>
      <c r="CI22" s="13">
        <f t="shared" si="31"/>
        <v>12.400000000000011</v>
      </c>
      <c r="CJ22" s="62"/>
      <c r="CK22" s="143"/>
      <c r="CL22" s="13">
        <f t="shared" si="32"/>
        <v>12.400000000000011</v>
      </c>
      <c r="CM22" s="62"/>
      <c r="CN22" s="143">
        <f>1.6+3.2</f>
        <v>4.8000000000000007</v>
      </c>
      <c r="CO22" s="13">
        <f t="shared" si="22"/>
        <v>7.6000000000000103</v>
      </c>
      <c r="CP22" s="62"/>
      <c r="CQ22" s="143">
        <f>0.2</f>
        <v>0.2</v>
      </c>
      <c r="CR22" s="13">
        <f t="shared" si="33"/>
        <v>7.4000000000000101</v>
      </c>
      <c r="CS22" s="62"/>
      <c r="CT22" s="143"/>
      <c r="CU22" s="14">
        <f t="shared" si="23"/>
        <v>7.4000000000000101</v>
      </c>
      <c r="CV22" s="5">
        <f t="shared" si="24"/>
        <v>50</v>
      </c>
      <c r="CW22" s="4">
        <f t="shared" si="24"/>
        <v>54.40000000000002</v>
      </c>
      <c r="CX22" s="6">
        <f t="shared" si="25"/>
        <v>7.4000000000000101</v>
      </c>
      <c r="CY22" s="162">
        <v>200</v>
      </c>
      <c r="CZ22" s="171">
        <f t="shared" si="26"/>
        <v>1480.000000000002</v>
      </c>
      <c r="DB22" s="2">
        <f t="shared" si="34"/>
        <v>7.4000000000000101</v>
      </c>
      <c r="DC22" s="62"/>
      <c r="DD22" s="143"/>
      <c r="DE22" s="149">
        <f t="shared" si="35"/>
        <v>7.4000000000000101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25</v>
      </c>
      <c r="G23" s="62">
        <v>30</v>
      </c>
      <c r="H23" s="143">
        <f>1+14</f>
        <v>15</v>
      </c>
      <c r="I23" s="13">
        <f t="shared" si="0"/>
        <v>40</v>
      </c>
      <c r="J23" s="62"/>
      <c r="K23" s="143">
        <v>18</v>
      </c>
      <c r="L23" s="13">
        <f t="shared" si="1"/>
        <v>22</v>
      </c>
      <c r="M23" s="62"/>
      <c r="N23" s="143"/>
      <c r="O23" s="13">
        <f t="shared" si="2"/>
        <v>22</v>
      </c>
      <c r="P23" s="62">
        <v>30</v>
      </c>
      <c r="Q23" s="143">
        <v>6</v>
      </c>
      <c r="R23" s="13">
        <f t="shared" si="3"/>
        <v>46</v>
      </c>
      <c r="S23" s="62"/>
      <c r="T23" s="143">
        <v>6</v>
      </c>
      <c r="U23" s="13">
        <f t="shared" si="4"/>
        <v>40</v>
      </c>
      <c r="V23" s="62"/>
      <c r="W23" s="143">
        <f>1+8</f>
        <v>9</v>
      </c>
      <c r="X23" s="13">
        <f t="shared" si="5"/>
        <v>31</v>
      </c>
      <c r="Y23" s="62"/>
      <c r="Z23" s="143"/>
      <c r="AA23" s="13">
        <f t="shared" si="27"/>
        <v>31</v>
      </c>
      <c r="AB23" s="62">
        <v>30</v>
      </c>
      <c r="AC23" s="143">
        <f>1+6</f>
        <v>7</v>
      </c>
      <c r="AD23" s="13">
        <f t="shared" si="28"/>
        <v>54</v>
      </c>
      <c r="AE23" s="61"/>
      <c r="AF23" s="143">
        <f>14</f>
        <v>14</v>
      </c>
      <c r="AG23" s="13">
        <f t="shared" si="29"/>
        <v>40</v>
      </c>
      <c r="AH23" s="62"/>
      <c r="AI23" s="143">
        <f>2</f>
        <v>2</v>
      </c>
      <c r="AJ23" s="13">
        <f t="shared" si="30"/>
        <v>38</v>
      </c>
      <c r="AK23" s="61"/>
      <c r="AL23" s="143">
        <f>1+6</f>
        <v>7</v>
      </c>
      <c r="AM23" s="13">
        <f t="shared" si="6"/>
        <v>31</v>
      </c>
      <c r="AN23" s="61">
        <v>30</v>
      </c>
      <c r="AO23" s="143">
        <f>18</f>
        <v>18</v>
      </c>
      <c r="AP23" s="13">
        <f t="shared" si="7"/>
        <v>43</v>
      </c>
      <c r="AQ23" s="62"/>
      <c r="AR23" s="143">
        <v>8</v>
      </c>
      <c r="AS23" s="13">
        <f t="shared" si="8"/>
        <v>35</v>
      </c>
      <c r="AT23" s="61"/>
      <c r="AU23" s="143"/>
      <c r="AV23" s="13">
        <f t="shared" si="9"/>
        <v>35</v>
      </c>
      <c r="AW23" s="62"/>
      <c r="AX23" s="143">
        <v>14</v>
      </c>
      <c r="AY23" s="13">
        <f t="shared" si="10"/>
        <v>21</v>
      </c>
      <c r="AZ23" s="62">
        <v>30</v>
      </c>
      <c r="BA23" s="143">
        <f>14</f>
        <v>14</v>
      </c>
      <c r="BB23" s="13">
        <f t="shared" si="11"/>
        <v>37</v>
      </c>
      <c r="BC23" s="62"/>
      <c r="BD23" s="143">
        <f>1</f>
        <v>1</v>
      </c>
      <c r="BE23" s="13">
        <f t="shared" si="12"/>
        <v>36</v>
      </c>
      <c r="BF23" s="62"/>
      <c r="BG23" s="143">
        <f>4</f>
        <v>4</v>
      </c>
      <c r="BH23" s="13">
        <f t="shared" si="13"/>
        <v>32</v>
      </c>
      <c r="BI23" s="62">
        <v>30</v>
      </c>
      <c r="BJ23" s="143">
        <f>4</f>
        <v>4</v>
      </c>
      <c r="BK23" s="13">
        <f t="shared" si="14"/>
        <v>58</v>
      </c>
      <c r="BL23" s="62"/>
      <c r="BM23" s="143">
        <v>6</v>
      </c>
      <c r="BN23" s="13">
        <f t="shared" si="15"/>
        <v>52</v>
      </c>
      <c r="BO23" s="62"/>
      <c r="BP23" s="143"/>
      <c r="BQ23" s="13">
        <f t="shared" si="16"/>
        <v>52</v>
      </c>
      <c r="BR23" s="62"/>
      <c r="BS23" s="143">
        <f>18</f>
        <v>18</v>
      </c>
      <c r="BT23" s="13">
        <f t="shared" si="17"/>
        <v>34</v>
      </c>
      <c r="BU23" s="62"/>
      <c r="BV23" s="143">
        <f>8</f>
        <v>8</v>
      </c>
      <c r="BW23" s="13">
        <f t="shared" si="18"/>
        <v>26</v>
      </c>
      <c r="BX23" s="62"/>
      <c r="BY23" s="143">
        <f>2</f>
        <v>2</v>
      </c>
      <c r="BZ23" s="13">
        <f t="shared" si="19"/>
        <v>24</v>
      </c>
      <c r="CA23" s="62"/>
      <c r="CB23" s="143">
        <f>1+8</f>
        <v>9</v>
      </c>
      <c r="CC23" s="13">
        <f t="shared" si="20"/>
        <v>15</v>
      </c>
      <c r="CD23" s="61">
        <v>30</v>
      </c>
      <c r="CE23" s="143">
        <f>1+6</f>
        <v>7</v>
      </c>
      <c r="CF23" s="13">
        <f t="shared" si="21"/>
        <v>38</v>
      </c>
      <c r="CG23" s="61"/>
      <c r="CH23" s="143">
        <f>16</f>
        <v>16</v>
      </c>
      <c r="CI23" s="13">
        <f t="shared" si="31"/>
        <v>22</v>
      </c>
      <c r="CJ23" s="61"/>
      <c r="CK23" s="143"/>
      <c r="CL23" s="13">
        <f t="shared" si="32"/>
        <v>22</v>
      </c>
      <c r="CM23" s="62">
        <v>30</v>
      </c>
      <c r="CN23" s="143">
        <v>10</v>
      </c>
      <c r="CO23" s="13">
        <f t="shared" si="22"/>
        <v>42</v>
      </c>
      <c r="CP23" s="62"/>
      <c r="CQ23" s="143">
        <f>1+12</f>
        <v>13</v>
      </c>
      <c r="CR23" s="13">
        <f t="shared" si="33"/>
        <v>29</v>
      </c>
      <c r="CS23" s="62"/>
      <c r="CT23" s="143"/>
      <c r="CU23" s="14">
        <f t="shared" si="23"/>
        <v>29</v>
      </c>
      <c r="CV23" s="5">
        <f t="shared" si="24"/>
        <v>240</v>
      </c>
      <c r="CW23" s="4">
        <f t="shared" si="24"/>
        <v>236</v>
      </c>
      <c r="CX23" s="6">
        <f t="shared" si="25"/>
        <v>29</v>
      </c>
      <c r="CY23" s="162">
        <v>180</v>
      </c>
      <c r="CZ23" s="171">
        <f t="shared" si="26"/>
        <v>5220</v>
      </c>
      <c r="DB23" s="2">
        <f t="shared" si="34"/>
        <v>29</v>
      </c>
      <c r="DC23" s="62"/>
      <c r="DD23" s="143"/>
      <c r="DE23" s="149">
        <f t="shared" si="35"/>
        <v>29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3</v>
      </c>
      <c r="G24" s="62"/>
      <c r="H24" s="143"/>
      <c r="I24" s="13">
        <f t="shared" si="0"/>
        <v>3</v>
      </c>
      <c r="J24" s="62">
        <f>9+7</f>
        <v>16</v>
      </c>
      <c r="K24" s="143"/>
      <c r="L24" s="13">
        <f t="shared" si="1"/>
        <v>19</v>
      </c>
      <c r="M24" s="62"/>
      <c r="N24" s="143">
        <f>10</f>
        <v>10</v>
      </c>
      <c r="O24" s="13">
        <f t="shared" si="2"/>
        <v>9</v>
      </c>
      <c r="P24" s="62"/>
      <c r="Q24" s="143"/>
      <c r="R24" s="30">
        <f t="shared" si="3"/>
        <v>9</v>
      </c>
      <c r="S24" s="62"/>
      <c r="T24" s="143"/>
      <c r="U24" s="13">
        <f t="shared" si="4"/>
        <v>9</v>
      </c>
      <c r="V24" s="62"/>
      <c r="W24" s="143">
        <f>4</f>
        <v>4</v>
      </c>
      <c r="X24" s="13">
        <f t="shared" si="5"/>
        <v>5</v>
      </c>
      <c r="Y24" s="62"/>
      <c r="Z24" s="143"/>
      <c r="AA24" s="13">
        <f t="shared" si="27"/>
        <v>5</v>
      </c>
      <c r="AB24" s="62">
        <f>9-5</f>
        <v>4</v>
      </c>
      <c r="AC24" s="143">
        <v>5</v>
      </c>
      <c r="AD24" s="13">
        <f t="shared" si="28"/>
        <v>4</v>
      </c>
      <c r="AE24" s="61"/>
      <c r="AF24" s="143"/>
      <c r="AG24" s="13">
        <f t="shared" si="29"/>
        <v>4</v>
      </c>
      <c r="AH24" s="62"/>
      <c r="AI24" s="143"/>
      <c r="AJ24" s="13">
        <f t="shared" si="30"/>
        <v>4</v>
      </c>
      <c r="AK24" s="61"/>
      <c r="AL24" s="143"/>
      <c r="AM24" s="13">
        <f t="shared" si="6"/>
        <v>4</v>
      </c>
      <c r="AN24" s="61"/>
      <c r="AO24" s="143"/>
      <c r="AP24" s="13">
        <f t="shared" si="7"/>
        <v>4</v>
      </c>
      <c r="AQ24" s="62"/>
      <c r="AR24" s="143"/>
      <c r="AS24" s="13">
        <f t="shared" si="8"/>
        <v>4</v>
      </c>
      <c r="AT24" s="61"/>
      <c r="AU24" s="143"/>
      <c r="AV24" s="13">
        <f t="shared" si="9"/>
        <v>4</v>
      </c>
      <c r="AW24" s="62"/>
      <c r="AX24" s="143"/>
      <c r="AY24" s="13">
        <f t="shared" si="10"/>
        <v>4</v>
      </c>
      <c r="AZ24" s="62">
        <v>9</v>
      </c>
      <c r="BA24" s="143"/>
      <c r="BB24" s="13">
        <f t="shared" si="11"/>
        <v>13</v>
      </c>
      <c r="BC24" s="62"/>
      <c r="BD24" s="143">
        <v>10</v>
      </c>
      <c r="BE24" s="13">
        <f t="shared" si="12"/>
        <v>3</v>
      </c>
      <c r="BF24" s="62"/>
      <c r="BG24" s="143"/>
      <c r="BH24" s="13">
        <f t="shared" si="13"/>
        <v>3</v>
      </c>
      <c r="BI24" s="62"/>
      <c r="BJ24" s="143"/>
      <c r="BK24" s="13">
        <f t="shared" si="14"/>
        <v>3</v>
      </c>
      <c r="BL24" s="62"/>
      <c r="BM24" s="143"/>
      <c r="BN24" s="13">
        <f t="shared" si="15"/>
        <v>3</v>
      </c>
      <c r="BO24" s="62"/>
      <c r="BP24" s="143"/>
      <c r="BQ24" s="13">
        <f t="shared" si="16"/>
        <v>3</v>
      </c>
      <c r="BR24" s="62"/>
      <c r="BS24" s="143"/>
      <c r="BT24" s="13">
        <f t="shared" si="17"/>
        <v>3</v>
      </c>
      <c r="BU24" s="62"/>
      <c r="BV24" s="143"/>
      <c r="BW24" s="13">
        <f t="shared" si="18"/>
        <v>3</v>
      </c>
      <c r="BX24" s="62"/>
      <c r="BY24" s="143"/>
      <c r="BZ24" s="13">
        <f t="shared" si="19"/>
        <v>3</v>
      </c>
      <c r="CA24" s="62"/>
      <c r="CB24" s="143"/>
      <c r="CC24" s="13">
        <f t="shared" si="20"/>
        <v>3</v>
      </c>
      <c r="CD24" s="61"/>
      <c r="CE24" s="143"/>
      <c r="CF24" s="13">
        <f t="shared" si="21"/>
        <v>3</v>
      </c>
      <c r="CG24" s="62"/>
      <c r="CH24" s="143"/>
      <c r="CI24" s="13">
        <f t="shared" si="31"/>
        <v>3</v>
      </c>
      <c r="CJ24" s="61"/>
      <c r="CK24" s="143"/>
      <c r="CL24" s="13">
        <f t="shared" si="32"/>
        <v>3</v>
      </c>
      <c r="CM24" s="62"/>
      <c r="CN24" s="143"/>
      <c r="CO24" s="13">
        <f t="shared" si="22"/>
        <v>3</v>
      </c>
      <c r="CP24" s="62"/>
      <c r="CQ24" s="143"/>
      <c r="CR24" s="13">
        <f t="shared" si="33"/>
        <v>3</v>
      </c>
      <c r="CS24" s="62"/>
      <c r="CT24" s="143"/>
      <c r="CU24" s="14">
        <f t="shared" si="23"/>
        <v>3</v>
      </c>
      <c r="CV24" s="5">
        <f t="shared" si="24"/>
        <v>29</v>
      </c>
      <c r="CW24" s="4">
        <f t="shared" si="24"/>
        <v>29</v>
      </c>
      <c r="CX24" s="6">
        <f t="shared" si="25"/>
        <v>3</v>
      </c>
      <c r="CY24" s="162">
        <v>89</v>
      </c>
      <c r="CZ24" s="171">
        <f t="shared" si="26"/>
        <v>267</v>
      </c>
      <c r="DB24" s="2">
        <f t="shared" si="34"/>
        <v>3</v>
      </c>
      <c r="DC24" s="62"/>
      <c r="DD24" s="143"/>
      <c r="DE24" s="149">
        <f t="shared" si="35"/>
        <v>3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8.5</v>
      </c>
      <c r="G25" s="62"/>
      <c r="H25" s="143">
        <f>1.5+1.5+1+1.5</f>
        <v>5.5</v>
      </c>
      <c r="I25" s="13">
        <f t="shared" si="0"/>
        <v>3</v>
      </c>
      <c r="J25" s="62">
        <v>20</v>
      </c>
      <c r="K25" s="143"/>
      <c r="L25" s="13">
        <f t="shared" si="1"/>
        <v>23</v>
      </c>
      <c r="M25" s="62"/>
      <c r="N25" s="143">
        <f>1+1+0.5+1+2</f>
        <v>5.5</v>
      </c>
      <c r="O25" s="13">
        <f t="shared" si="2"/>
        <v>17.5</v>
      </c>
      <c r="P25" s="62"/>
      <c r="Q25" s="143">
        <f>1.5+1+1+4+2</f>
        <v>9.5</v>
      </c>
      <c r="R25" s="30">
        <f t="shared" si="3"/>
        <v>8</v>
      </c>
      <c r="S25" s="62">
        <v>8</v>
      </c>
      <c r="T25" s="143">
        <f>0.5</f>
        <v>0.5</v>
      </c>
      <c r="U25" s="13">
        <f t="shared" si="4"/>
        <v>15.5</v>
      </c>
      <c r="V25" s="62"/>
      <c r="W25" s="143">
        <f>5+2+1</f>
        <v>8</v>
      </c>
      <c r="X25" s="13">
        <f t="shared" si="5"/>
        <v>7.5</v>
      </c>
      <c r="Y25" s="62"/>
      <c r="Z25" s="143"/>
      <c r="AA25" s="13">
        <f t="shared" si="27"/>
        <v>7.5</v>
      </c>
      <c r="AB25" s="62">
        <f>-1+10</f>
        <v>9</v>
      </c>
      <c r="AC25" s="143">
        <f>2+1.5+1.5+2</f>
        <v>7</v>
      </c>
      <c r="AD25" s="13">
        <f t="shared" si="28"/>
        <v>9.5</v>
      </c>
      <c r="AE25" s="61">
        <v>10</v>
      </c>
      <c r="AF25" s="143">
        <f>3+0.5+1</f>
        <v>4.5</v>
      </c>
      <c r="AG25" s="13">
        <f t="shared" si="29"/>
        <v>15</v>
      </c>
      <c r="AH25" s="62"/>
      <c r="AI25" s="143">
        <f>1.5+2+1</f>
        <v>4.5</v>
      </c>
      <c r="AJ25" s="13">
        <f t="shared" si="30"/>
        <v>10.5</v>
      </c>
      <c r="AK25" s="61">
        <v>10</v>
      </c>
      <c r="AL25" s="143">
        <f>2.5+2+3+0.5+1</f>
        <v>9</v>
      </c>
      <c r="AM25" s="13">
        <f t="shared" si="6"/>
        <v>11.5</v>
      </c>
      <c r="AN25" s="61">
        <v>8</v>
      </c>
      <c r="AO25" s="143">
        <f>3</f>
        <v>3</v>
      </c>
      <c r="AP25" s="13">
        <f t="shared" si="7"/>
        <v>16.5</v>
      </c>
      <c r="AQ25" s="62"/>
      <c r="AR25" s="143">
        <f>1.5+0.5+4+3</f>
        <v>9</v>
      </c>
      <c r="AS25" s="13">
        <f t="shared" si="8"/>
        <v>7.5</v>
      </c>
      <c r="AT25" s="61"/>
      <c r="AU25" s="143"/>
      <c r="AV25" s="13">
        <f t="shared" si="9"/>
        <v>7.5</v>
      </c>
      <c r="AW25" s="62"/>
      <c r="AX25" s="143"/>
      <c r="AY25" s="13">
        <f t="shared" si="10"/>
        <v>7.5</v>
      </c>
      <c r="AZ25" s="62">
        <f>-3+10</f>
        <v>7</v>
      </c>
      <c r="BA25" s="143">
        <f>1</f>
        <v>1</v>
      </c>
      <c r="BB25" s="13">
        <f t="shared" si="11"/>
        <v>13.5</v>
      </c>
      <c r="BC25" s="62"/>
      <c r="BD25" s="143">
        <f>1</f>
        <v>1</v>
      </c>
      <c r="BE25" s="13">
        <f t="shared" si="12"/>
        <v>12.5</v>
      </c>
      <c r="BF25" s="62">
        <v>10</v>
      </c>
      <c r="BG25" s="143">
        <f>3+4+1</f>
        <v>8</v>
      </c>
      <c r="BH25" s="13">
        <f t="shared" si="13"/>
        <v>14.5</v>
      </c>
      <c r="BI25" s="62"/>
      <c r="BJ25" s="143">
        <f>3</f>
        <v>3</v>
      </c>
      <c r="BK25" s="13">
        <f t="shared" si="14"/>
        <v>11.5</v>
      </c>
      <c r="BL25" s="62"/>
      <c r="BM25" s="143"/>
      <c r="BN25" s="13">
        <f t="shared" si="15"/>
        <v>11.5</v>
      </c>
      <c r="BO25" s="62"/>
      <c r="BP25" s="143"/>
      <c r="BQ25" s="13">
        <f t="shared" si="16"/>
        <v>11.5</v>
      </c>
      <c r="BR25" s="62">
        <f>8+10</f>
        <v>18</v>
      </c>
      <c r="BS25" s="143">
        <f>1.5+2+1</f>
        <v>4.5</v>
      </c>
      <c r="BT25" s="13">
        <f t="shared" si="17"/>
        <v>25</v>
      </c>
      <c r="BU25" s="62"/>
      <c r="BV25" s="143">
        <f>2</f>
        <v>2</v>
      </c>
      <c r="BW25" s="13">
        <f t="shared" si="18"/>
        <v>23</v>
      </c>
      <c r="BX25" s="62"/>
      <c r="BY25" s="143">
        <f>1.5+1.5+2.5+1.5+2</f>
        <v>9</v>
      </c>
      <c r="BZ25" s="13">
        <f t="shared" si="19"/>
        <v>14</v>
      </c>
      <c r="CA25" s="62"/>
      <c r="CB25" s="143">
        <f>1+1+0.5+4</f>
        <v>6.5</v>
      </c>
      <c r="CC25" s="13">
        <f t="shared" si="20"/>
        <v>7.5</v>
      </c>
      <c r="CD25" s="61"/>
      <c r="CE25" s="143">
        <f>3+1</f>
        <v>4</v>
      </c>
      <c r="CF25" s="13">
        <f t="shared" si="21"/>
        <v>3.5</v>
      </c>
      <c r="CG25" s="62"/>
      <c r="CH25" s="143">
        <f>1</f>
        <v>1</v>
      </c>
      <c r="CI25" s="13">
        <f t="shared" si="31"/>
        <v>2.5</v>
      </c>
      <c r="CJ25" s="61"/>
      <c r="CK25" s="143"/>
      <c r="CL25" s="13">
        <f t="shared" si="32"/>
        <v>2.5</v>
      </c>
      <c r="CM25" s="62">
        <v>10</v>
      </c>
      <c r="CN25" s="143">
        <f>1.5</f>
        <v>1.5</v>
      </c>
      <c r="CO25" s="13">
        <f t="shared" si="22"/>
        <v>11</v>
      </c>
      <c r="CP25" s="62"/>
      <c r="CQ25" s="143">
        <f>3+1</f>
        <v>4</v>
      </c>
      <c r="CR25" s="13">
        <f t="shared" si="33"/>
        <v>7</v>
      </c>
      <c r="CS25" s="62"/>
      <c r="CT25" s="143"/>
      <c r="CU25" s="14">
        <f t="shared" si="23"/>
        <v>7</v>
      </c>
      <c r="CV25" s="5">
        <f t="shared" si="24"/>
        <v>110</v>
      </c>
      <c r="CW25" s="4">
        <f t="shared" si="24"/>
        <v>111.5</v>
      </c>
      <c r="CX25" s="6">
        <f t="shared" si="25"/>
        <v>7</v>
      </c>
      <c r="CY25" s="162">
        <v>275</v>
      </c>
      <c r="CZ25" s="171">
        <f t="shared" si="26"/>
        <v>1925</v>
      </c>
      <c r="DB25" s="2">
        <f t="shared" si="34"/>
        <v>7</v>
      </c>
      <c r="DC25" s="62"/>
      <c r="DD25" s="143"/>
      <c r="DE25" s="149">
        <f t="shared" si="35"/>
        <v>7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11</v>
      </c>
      <c r="G26" s="62">
        <f>2+10</f>
        <v>12</v>
      </c>
      <c r="H26" s="143">
        <v>6</v>
      </c>
      <c r="I26" s="13">
        <f t="shared" si="0"/>
        <v>17</v>
      </c>
      <c r="J26" s="62">
        <v>2</v>
      </c>
      <c r="K26" s="143">
        <v>6</v>
      </c>
      <c r="L26" s="13">
        <f t="shared" si="1"/>
        <v>13</v>
      </c>
      <c r="M26" s="62"/>
      <c r="N26" s="143"/>
      <c r="O26" s="13">
        <f t="shared" si="2"/>
        <v>13</v>
      </c>
      <c r="P26" s="62">
        <v>2</v>
      </c>
      <c r="Q26" s="143">
        <v>3</v>
      </c>
      <c r="R26" s="30">
        <f t="shared" si="3"/>
        <v>12</v>
      </c>
      <c r="S26" s="62">
        <f>2+10</f>
        <v>12</v>
      </c>
      <c r="T26" s="143">
        <v>5</v>
      </c>
      <c r="U26" s="13">
        <f t="shared" si="4"/>
        <v>19</v>
      </c>
      <c r="V26" s="62">
        <v>2</v>
      </c>
      <c r="W26" s="143">
        <v>4</v>
      </c>
      <c r="X26" s="13">
        <f t="shared" si="5"/>
        <v>17</v>
      </c>
      <c r="Y26" s="62"/>
      <c r="Z26" s="143"/>
      <c r="AA26" s="13">
        <f t="shared" si="27"/>
        <v>17</v>
      </c>
      <c r="AB26" s="62">
        <f>2+5</f>
        <v>7</v>
      </c>
      <c r="AC26" s="143">
        <v>5</v>
      </c>
      <c r="AD26" s="13">
        <f t="shared" si="28"/>
        <v>19</v>
      </c>
      <c r="AE26" s="61">
        <v>2</v>
      </c>
      <c r="AF26" s="143">
        <v>4</v>
      </c>
      <c r="AG26" s="13">
        <f t="shared" si="29"/>
        <v>17</v>
      </c>
      <c r="AH26" s="62"/>
      <c r="AI26" s="143"/>
      <c r="AJ26" s="13">
        <f t="shared" si="30"/>
        <v>17</v>
      </c>
      <c r="AK26" s="61">
        <v>2</v>
      </c>
      <c r="AL26" s="143">
        <v>7</v>
      </c>
      <c r="AM26" s="13">
        <f t="shared" si="6"/>
        <v>12</v>
      </c>
      <c r="AN26" s="61">
        <f>2+20</f>
        <v>22</v>
      </c>
      <c r="AO26" s="143">
        <v>3</v>
      </c>
      <c r="AP26" s="13">
        <f t="shared" si="7"/>
        <v>31</v>
      </c>
      <c r="AQ26" s="62">
        <v>2</v>
      </c>
      <c r="AR26" s="143">
        <v>7</v>
      </c>
      <c r="AS26" s="13">
        <f t="shared" si="8"/>
        <v>26</v>
      </c>
      <c r="AT26" s="61"/>
      <c r="AU26" s="143"/>
      <c r="AV26" s="13">
        <f t="shared" si="9"/>
        <v>26</v>
      </c>
      <c r="AW26" s="62"/>
      <c r="AX26" s="143">
        <v>5</v>
      </c>
      <c r="AY26" s="13">
        <f t="shared" si="10"/>
        <v>21</v>
      </c>
      <c r="AZ26" s="62">
        <v>2</v>
      </c>
      <c r="BA26" s="143">
        <f>6</f>
        <v>6</v>
      </c>
      <c r="BB26" s="13">
        <f t="shared" si="11"/>
        <v>17</v>
      </c>
      <c r="BC26" s="62"/>
      <c r="BD26" s="143"/>
      <c r="BE26" s="13">
        <f t="shared" si="12"/>
        <v>17</v>
      </c>
      <c r="BF26" s="62">
        <v>2</v>
      </c>
      <c r="BG26" s="143">
        <v>7</v>
      </c>
      <c r="BH26" s="13">
        <f t="shared" si="13"/>
        <v>12</v>
      </c>
      <c r="BI26" s="62">
        <f>2+8</f>
        <v>10</v>
      </c>
      <c r="BJ26" s="143">
        <v>5</v>
      </c>
      <c r="BK26" s="13">
        <f t="shared" si="14"/>
        <v>17</v>
      </c>
      <c r="BL26" s="62">
        <v>2</v>
      </c>
      <c r="BM26" s="143">
        <v>6</v>
      </c>
      <c r="BN26" s="13">
        <f t="shared" si="15"/>
        <v>13</v>
      </c>
      <c r="BO26" s="62"/>
      <c r="BP26" s="143"/>
      <c r="BQ26" s="13">
        <f t="shared" si="16"/>
        <v>13</v>
      </c>
      <c r="BR26" s="62">
        <f>2+10</f>
        <v>12</v>
      </c>
      <c r="BS26" s="143">
        <v>6</v>
      </c>
      <c r="BT26" s="13">
        <f t="shared" si="17"/>
        <v>19</v>
      </c>
      <c r="BU26" s="62"/>
      <c r="BV26" s="143">
        <v>4</v>
      </c>
      <c r="BW26" s="13">
        <f t="shared" si="18"/>
        <v>15</v>
      </c>
      <c r="BX26" s="62"/>
      <c r="BY26" s="143"/>
      <c r="BZ26" s="13">
        <f t="shared" si="19"/>
        <v>15</v>
      </c>
      <c r="CA26" s="62">
        <v>2</v>
      </c>
      <c r="CB26" s="143">
        <v>5</v>
      </c>
      <c r="CC26" s="13">
        <f t="shared" si="20"/>
        <v>12</v>
      </c>
      <c r="CD26" s="61">
        <f>2+10</f>
        <v>12</v>
      </c>
      <c r="CE26" s="143">
        <v>5</v>
      </c>
      <c r="CF26" s="13">
        <f t="shared" si="21"/>
        <v>19</v>
      </c>
      <c r="CG26" s="62">
        <v>2</v>
      </c>
      <c r="CH26" s="143">
        <v>10</v>
      </c>
      <c r="CI26" s="13">
        <f t="shared" si="31"/>
        <v>11</v>
      </c>
      <c r="CJ26" s="61"/>
      <c r="CK26" s="143"/>
      <c r="CL26" s="13">
        <f t="shared" si="32"/>
        <v>11</v>
      </c>
      <c r="CM26" s="62">
        <v>12</v>
      </c>
      <c r="CN26" s="143">
        <v>6</v>
      </c>
      <c r="CO26" s="13">
        <f t="shared" si="22"/>
        <v>17</v>
      </c>
      <c r="CP26" s="62">
        <v>2</v>
      </c>
      <c r="CQ26" s="143">
        <v>5</v>
      </c>
      <c r="CR26" s="13">
        <f t="shared" si="33"/>
        <v>14</v>
      </c>
      <c r="CS26" s="62"/>
      <c r="CT26" s="143"/>
      <c r="CU26" s="14">
        <f t="shared" si="23"/>
        <v>14</v>
      </c>
      <c r="CV26" s="5">
        <f t="shared" si="24"/>
        <v>123</v>
      </c>
      <c r="CW26" s="4">
        <f t="shared" si="24"/>
        <v>120</v>
      </c>
      <c r="CX26" s="6">
        <f t="shared" si="25"/>
        <v>14</v>
      </c>
      <c r="CY26" s="162">
        <v>3800</v>
      </c>
      <c r="CZ26" s="171">
        <f t="shared" si="26"/>
        <v>53200</v>
      </c>
      <c r="DB26" s="2">
        <f t="shared" si="34"/>
        <v>14</v>
      </c>
      <c r="DC26" s="62"/>
      <c r="DD26" s="143"/>
      <c r="DE26" s="149">
        <f t="shared" si="35"/>
        <v>14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40</v>
      </c>
      <c r="E27" s="34" t="s">
        <v>68</v>
      </c>
      <c r="F27" s="14">
        <v>36.669999999999966</v>
      </c>
      <c r="G27" s="62">
        <v>40</v>
      </c>
      <c r="H27" s="143">
        <f>1+0.6+0.6+1.7+1.5+1.9+4</f>
        <v>11.3</v>
      </c>
      <c r="I27" s="13">
        <f t="shared" si="0"/>
        <v>65.369999999999962</v>
      </c>
      <c r="J27" s="62"/>
      <c r="K27" s="143">
        <f>1.1+0.9+3.7+0.8+1.7+0.8+1.2+0.5</f>
        <v>10.7</v>
      </c>
      <c r="L27" s="13">
        <f t="shared" si="1"/>
        <v>54.669999999999959</v>
      </c>
      <c r="M27" s="62"/>
      <c r="N27" s="143">
        <f>1.1+1+1+0.7+1.3</f>
        <v>5.0999999999999996</v>
      </c>
      <c r="O27" s="13">
        <f t="shared" si="2"/>
        <v>49.569999999999958</v>
      </c>
      <c r="P27" s="62"/>
      <c r="Q27" s="143">
        <f>10+2.6+1.9+1.3+1.2+1.8+1.6+0.2+1.3+4</f>
        <v>25.900000000000002</v>
      </c>
      <c r="R27" s="30">
        <f t="shared" si="3"/>
        <v>23.669999999999956</v>
      </c>
      <c r="S27" s="62">
        <v>60</v>
      </c>
      <c r="T27" s="143">
        <f>10+1.3+0.4+0.2+0.3+0.3+0.9</f>
        <v>13.400000000000002</v>
      </c>
      <c r="U27" s="13">
        <f t="shared" si="4"/>
        <v>70.269999999999953</v>
      </c>
      <c r="V27" s="62"/>
      <c r="W27" s="143">
        <f>10+2.6+3.8+3</f>
        <v>19.399999999999999</v>
      </c>
      <c r="X27" s="13">
        <f t="shared" si="5"/>
        <v>50.869999999999955</v>
      </c>
      <c r="Y27" s="62"/>
      <c r="Z27" s="143"/>
      <c r="AA27" s="13">
        <f t="shared" si="27"/>
        <v>50.869999999999955</v>
      </c>
      <c r="AB27" s="62">
        <v>20</v>
      </c>
      <c r="AC27" s="143">
        <f>1.1+1.1+3.2+1.9+2.6+2+0.6+0.8+2.3+6.5</f>
        <v>22.1</v>
      </c>
      <c r="AD27" s="13">
        <f t="shared" si="28"/>
        <v>48.769999999999946</v>
      </c>
      <c r="AE27" s="61">
        <v>60</v>
      </c>
      <c r="AF27" s="143">
        <f>10+1.4+2.4+1+1.9+2.1+2+6+0.4</f>
        <v>27.2</v>
      </c>
      <c r="AG27" s="13">
        <f t="shared" si="29"/>
        <v>81.569999999999951</v>
      </c>
      <c r="AH27" s="62"/>
      <c r="AI27" s="143">
        <f>0.7+1.9+0.8+1.7+0.8+1.7+2.1+2.3+2+4.3</f>
        <v>18.3</v>
      </c>
      <c r="AJ27" s="13">
        <f t="shared" si="30"/>
        <v>63.269999999999953</v>
      </c>
      <c r="AK27" s="61">
        <v>20</v>
      </c>
      <c r="AL27" s="143">
        <f>2.3+1.3+1.8+0.9+1.9+5.8+0.07</f>
        <v>14.07</v>
      </c>
      <c r="AM27" s="13">
        <f t="shared" si="6"/>
        <v>69.19999999999996</v>
      </c>
      <c r="AN27" s="61"/>
      <c r="AO27" s="143">
        <f>10+0.4+0.2+0.2+0.2+0.3+0.6+0.1+3</f>
        <v>14.999999999999998</v>
      </c>
      <c r="AP27" s="13">
        <f t="shared" si="7"/>
        <v>54.19999999999996</v>
      </c>
      <c r="AQ27" s="62"/>
      <c r="AR27" s="143">
        <f>0.6+4.5</f>
        <v>5.0999999999999996</v>
      </c>
      <c r="AS27" s="13">
        <f t="shared" si="8"/>
        <v>49.099999999999959</v>
      </c>
      <c r="AT27" s="61"/>
      <c r="AU27" s="143"/>
      <c r="AV27" s="13">
        <f t="shared" si="9"/>
        <v>49.099999999999959</v>
      </c>
      <c r="AW27" s="62"/>
      <c r="AX27" s="143"/>
      <c r="AY27" s="13">
        <f t="shared" si="10"/>
        <v>49.099999999999959</v>
      </c>
      <c r="AZ27" s="62">
        <v>40</v>
      </c>
      <c r="BA27" s="143">
        <f>1.1+1.5+0.9+3.7+0.8+2.1+1.7+2+1.3+1.2+4+0.5</f>
        <v>20.8</v>
      </c>
      <c r="BB27" s="13">
        <f t="shared" si="11"/>
        <v>68.299999999999969</v>
      </c>
      <c r="BC27" s="62"/>
      <c r="BD27" s="143">
        <f>1.1+1.4+1+1.2+1.6+1.1+2.6+1.3</f>
        <v>11.3</v>
      </c>
      <c r="BE27" s="13">
        <f t="shared" si="12"/>
        <v>56.999999999999972</v>
      </c>
      <c r="BF27" s="62"/>
      <c r="BG27" s="143">
        <f>2.7+1.6+1.9+0.8+1.8+0.6+1.5</f>
        <v>10.9</v>
      </c>
      <c r="BH27" s="13">
        <f t="shared" si="13"/>
        <v>46.099999999999973</v>
      </c>
      <c r="BI27" s="62">
        <v>40</v>
      </c>
      <c r="BJ27" s="143">
        <f>1.3+0.4+0.2+0.2+0.3</f>
        <v>2.4</v>
      </c>
      <c r="BK27" s="13">
        <f t="shared" si="14"/>
        <v>83.69999999999996</v>
      </c>
      <c r="BL27" s="62"/>
      <c r="BM27" s="143">
        <f>0.8+1.2+10</f>
        <v>12</v>
      </c>
      <c r="BN27" s="13">
        <f t="shared" si="15"/>
        <v>71.69999999999996</v>
      </c>
      <c r="BO27" s="62"/>
      <c r="BP27" s="143"/>
      <c r="BQ27" s="13">
        <f t="shared" si="16"/>
        <v>71.69999999999996</v>
      </c>
      <c r="BR27" s="62">
        <v>40</v>
      </c>
      <c r="BS27" s="143">
        <f>1.1+0.9+1+0.8+1.7+0.9+4</f>
        <v>10.4</v>
      </c>
      <c r="BT27" s="13">
        <f t="shared" si="17"/>
        <v>101.29999999999995</v>
      </c>
      <c r="BU27" s="64"/>
      <c r="BV27" s="143">
        <f>10.1</f>
        <v>10.1</v>
      </c>
      <c r="BW27" s="13">
        <f t="shared" si="18"/>
        <v>91.19999999999996</v>
      </c>
      <c r="BX27" s="62"/>
      <c r="BY27" s="143">
        <f>0.8+0.9+2.6+2+2.5+2.1+1.7+0.8+2.1+1.6+6+2.2+6</f>
        <v>31.3</v>
      </c>
      <c r="BZ27" s="13">
        <f t="shared" si="19"/>
        <v>59.899999999999963</v>
      </c>
      <c r="CA27" s="62"/>
      <c r="CB27" s="143">
        <f>1.3+0.8+0.2+0.8+0.5+0.2+5.8</f>
        <v>9.6000000000000014</v>
      </c>
      <c r="CC27" s="13">
        <f t="shared" si="20"/>
        <v>50.299999999999962</v>
      </c>
      <c r="CD27" s="61">
        <v>40</v>
      </c>
      <c r="CE27" s="143">
        <f>10+0.4+0.2+0.2+0.2+0.2+0.2+0.4+0.1+1.5+0.2</f>
        <v>13.599999999999996</v>
      </c>
      <c r="CF27" s="13">
        <f t="shared" si="21"/>
        <v>76.69999999999996</v>
      </c>
      <c r="CG27" s="61"/>
      <c r="CH27" s="143">
        <f>0.8+1.5+4+2+1.9</f>
        <v>10.200000000000001</v>
      </c>
      <c r="CI27" s="13">
        <f t="shared" si="31"/>
        <v>66.499999999999957</v>
      </c>
      <c r="CJ27" s="61"/>
      <c r="CK27" s="143"/>
      <c r="CL27" s="13">
        <f t="shared" si="32"/>
        <v>66.499999999999957</v>
      </c>
      <c r="CM27" s="62"/>
      <c r="CN27" s="143">
        <f>1+0.6+0.8+0.5+0.4+3+3</f>
        <v>9.3000000000000007</v>
      </c>
      <c r="CO27" s="13">
        <f t="shared" si="22"/>
        <v>57.19999999999996</v>
      </c>
      <c r="CP27" s="62"/>
      <c r="CQ27" s="143">
        <f>1.3+1.4+1+1.1+1.3+1+2.5+4+0.4+3</f>
        <v>17</v>
      </c>
      <c r="CR27" s="13">
        <f t="shared" si="33"/>
        <v>40.19999999999996</v>
      </c>
      <c r="CS27" s="62"/>
      <c r="CT27" s="143"/>
      <c r="CU27" s="14">
        <f t="shared" si="23"/>
        <v>40.19999999999996</v>
      </c>
      <c r="CV27" s="5">
        <f t="shared" si="24"/>
        <v>360</v>
      </c>
      <c r="CW27" s="4">
        <f t="shared" si="24"/>
        <v>356.47000000000008</v>
      </c>
      <c r="CX27" s="6">
        <f t="shared" si="25"/>
        <v>40.19999999999996</v>
      </c>
      <c r="CY27" s="162">
        <v>240</v>
      </c>
      <c r="CZ27" s="171">
        <f t="shared" si="26"/>
        <v>9647.9999999999909</v>
      </c>
      <c r="DB27" s="2">
        <f t="shared" si="34"/>
        <v>40.19999999999996</v>
      </c>
      <c r="DC27" s="62"/>
      <c r="DD27" s="143"/>
      <c r="DE27" s="149">
        <f t="shared" si="35"/>
        <v>40.19999999999996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9.9999999999999645E-2</v>
      </c>
      <c r="G28" s="62">
        <v>20</v>
      </c>
      <c r="H28" s="143"/>
      <c r="I28" s="13">
        <f t="shared" si="0"/>
        <v>20.100000000000001</v>
      </c>
      <c r="J28" s="62"/>
      <c r="K28" s="143">
        <v>2.2000000000000002</v>
      </c>
      <c r="L28" s="13">
        <f t="shared" si="1"/>
        <v>17.900000000000002</v>
      </c>
      <c r="M28" s="62"/>
      <c r="N28" s="143"/>
      <c r="O28" s="13">
        <f t="shared" si="2"/>
        <v>17.900000000000002</v>
      </c>
      <c r="P28" s="62"/>
      <c r="Q28" s="143">
        <v>5.6</v>
      </c>
      <c r="R28" s="30">
        <f t="shared" si="3"/>
        <v>12.300000000000002</v>
      </c>
      <c r="S28" s="62"/>
      <c r="T28" s="143">
        <v>2.2000000000000002</v>
      </c>
      <c r="U28" s="13">
        <f t="shared" si="4"/>
        <v>10.100000000000001</v>
      </c>
      <c r="V28" s="62"/>
      <c r="W28" s="143"/>
      <c r="X28" s="13">
        <f t="shared" si="5"/>
        <v>10.100000000000001</v>
      </c>
      <c r="Y28" s="62"/>
      <c r="Z28" s="143"/>
      <c r="AA28" s="13">
        <f t="shared" si="27"/>
        <v>10.100000000000001</v>
      </c>
      <c r="AB28" s="62"/>
      <c r="AC28" s="143">
        <v>2.2000000000000002</v>
      </c>
      <c r="AD28" s="13">
        <f t="shared" si="28"/>
        <v>7.9000000000000012</v>
      </c>
      <c r="AE28" s="61">
        <v>20</v>
      </c>
      <c r="AF28" s="143">
        <v>4.4000000000000004</v>
      </c>
      <c r="AG28" s="13">
        <f t="shared" si="29"/>
        <v>23.5</v>
      </c>
      <c r="AH28" s="62"/>
      <c r="AI28" s="143"/>
      <c r="AJ28" s="13">
        <f t="shared" si="30"/>
        <v>23.5</v>
      </c>
      <c r="AK28" s="61"/>
      <c r="AL28" s="143">
        <v>2.2999999999999998</v>
      </c>
      <c r="AM28" s="13">
        <f t="shared" si="6"/>
        <v>21.2</v>
      </c>
      <c r="AN28" s="61"/>
      <c r="AO28" s="143">
        <v>1.2</v>
      </c>
      <c r="AP28" s="13">
        <f t="shared" si="7"/>
        <v>20</v>
      </c>
      <c r="AQ28" s="62"/>
      <c r="AR28" s="143">
        <v>1.2</v>
      </c>
      <c r="AS28" s="13">
        <f t="shared" si="8"/>
        <v>18.8</v>
      </c>
      <c r="AT28" s="61"/>
      <c r="AU28" s="143"/>
      <c r="AV28" s="13">
        <f t="shared" si="9"/>
        <v>18.8</v>
      </c>
      <c r="AW28" s="62"/>
      <c r="AX28" s="143">
        <v>3</v>
      </c>
      <c r="AY28" s="13">
        <f t="shared" si="10"/>
        <v>15.8</v>
      </c>
      <c r="AZ28" s="62"/>
      <c r="BA28" s="143">
        <f>4+0.8</f>
        <v>4.8</v>
      </c>
      <c r="BB28" s="13">
        <f t="shared" si="11"/>
        <v>11</v>
      </c>
      <c r="BC28" s="62"/>
      <c r="BD28" s="143"/>
      <c r="BE28" s="13">
        <f t="shared" si="12"/>
        <v>11</v>
      </c>
      <c r="BF28" s="62"/>
      <c r="BG28" s="143">
        <v>1</v>
      </c>
      <c r="BH28" s="13">
        <f t="shared" si="13"/>
        <v>10</v>
      </c>
      <c r="BI28" s="62"/>
      <c r="BJ28" s="143"/>
      <c r="BK28" s="13">
        <f t="shared" si="14"/>
        <v>10</v>
      </c>
      <c r="BL28" s="62"/>
      <c r="BM28" s="143">
        <v>1.2</v>
      </c>
      <c r="BN28" s="13">
        <f t="shared" si="15"/>
        <v>8.8000000000000007</v>
      </c>
      <c r="BO28" s="62"/>
      <c r="BP28" s="143"/>
      <c r="BQ28" s="13">
        <f t="shared" si="16"/>
        <v>8.8000000000000007</v>
      </c>
      <c r="BR28" s="62"/>
      <c r="BS28" s="143">
        <f>2</f>
        <v>2</v>
      </c>
      <c r="BT28" s="13">
        <f t="shared" si="17"/>
        <v>6.8000000000000007</v>
      </c>
      <c r="BU28" s="62"/>
      <c r="BV28" s="143">
        <v>1.2</v>
      </c>
      <c r="BW28" s="13">
        <f t="shared" si="18"/>
        <v>5.6000000000000005</v>
      </c>
      <c r="BX28" s="62"/>
      <c r="BY28" s="143"/>
      <c r="BZ28" s="13">
        <f t="shared" si="19"/>
        <v>5.6000000000000005</v>
      </c>
      <c r="CA28" s="62"/>
      <c r="CB28" s="143">
        <v>2.4</v>
      </c>
      <c r="CC28" s="13">
        <f t="shared" si="20"/>
        <v>3.2000000000000006</v>
      </c>
      <c r="CD28" s="61"/>
      <c r="CE28" s="143">
        <v>2.4</v>
      </c>
      <c r="CF28" s="13">
        <f t="shared" si="21"/>
        <v>0.80000000000000071</v>
      </c>
      <c r="CG28" s="61"/>
      <c r="CH28" s="143">
        <v>0.8</v>
      </c>
      <c r="CI28" s="13">
        <f t="shared" si="31"/>
        <v>0</v>
      </c>
      <c r="CJ28" s="61"/>
      <c r="CK28" s="143"/>
      <c r="CL28" s="13">
        <f t="shared" si="32"/>
        <v>0</v>
      </c>
      <c r="CM28" s="62"/>
      <c r="CN28" s="143"/>
      <c r="CO28" s="13">
        <f t="shared" si="22"/>
        <v>0</v>
      </c>
      <c r="CP28" s="62"/>
      <c r="CQ28" s="143"/>
      <c r="CR28" s="13">
        <f t="shared" si="33"/>
        <v>0</v>
      </c>
      <c r="CS28" s="62"/>
      <c r="CT28" s="143"/>
      <c r="CU28" s="14">
        <f t="shared" si="23"/>
        <v>0</v>
      </c>
      <c r="CV28" s="5">
        <f t="shared" si="24"/>
        <v>40</v>
      </c>
      <c r="CW28" s="4">
        <f t="shared" si="24"/>
        <v>40.099999999999994</v>
      </c>
      <c r="CX28" s="6">
        <f t="shared" si="25"/>
        <v>0</v>
      </c>
      <c r="CY28" s="162">
        <v>0</v>
      </c>
      <c r="CZ28" s="171">
        <f t="shared" si="26"/>
        <v>0</v>
      </c>
      <c r="DB28" s="2">
        <f t="shared" si="34"/>
        <v>0</v>
      </c>
      <c r="DC28" s="62"/>
      <c r="DD28" s="143"/>
      <c r="DE28" s="149">
        <f t="shared" si="35"/>
        <v>0</v>
      </c>
    </row>
    <row r="29" spans="1:109" ht="15.75" customHeight="1">
      <c r="A29" s="33"/>
      <c r="B29" s="7" t="s">
        <v>70</v>
      </c>
      <c r="C29" s="105" t="s">
        <v>30</v>
      </c>
      <c r="D29" s="35" t="s">
        <v>315</v>
      </c>
      <c r="E29" s="35" t="s">
        <v>71</v>
      </c>
      <c r="F29" s="14">
        <v>30</v>
      </c>
      <c r="G29" s="62">
        <f>-57+60+40</f>
        <v>43</v>
      </c>
      <c r="H29" s="143">
        <f>3+8+19</f>
        <v>30</v>
      </c>
      <c r="I29" s="13">
        <f t="shared" si="0"/>
        <v>43</v>
      </c>
      <c r="J29" s="62">
        <f>-65+80+70</f>
        <v>85</v>
      </c>
      <c r="K29" s="143">
        <f>7+6+15+15</f>
        <v>43</v>
      </c>
      <c r="L29" s="13">
        <f t="shared" si="1"/>
        <v>85</v>
      </c>
      <c r="M29" s="62"/>
      <c r="N29" s="143">
        <f>8</f>
        <v>8</v>
      </c>
      <c r="O29" s="13">
        <f t="shared" si="2"/>
        <v>77</v>
      </c>
      <c r="P29" s="62">
        <f>50+20</f>
        <v>70</v>
      </c>
      <c r="Q29" s="143">
        <f>2+9+4+5+47</f>
        <v>67</v>
      </c>
      <c r="R29" s="30">
        <f t="shared" si="3"/>
        <v>80</v>
      </c>
      <c r="S29" s="62">
        <f>40+10</f>
        <v>50</v>
      </c>
      <c r="T29" s="143">
        <f>3+3+4+7+30</f>
        <v>47</v>
      </c>
      <c r="U29" s="13">
        <f t="shared" si="4"/>
        <v>83</v>
      </c>
      <c r="V29" s="62">
        <v>40</v>
      </c>
      <c r="W29" s="143">
        <f>4+6+48</f>
        <v>58</v>
      </c>
      <c r="X29" s="13">
        <f>U29+V29-W29</f>
        <v>65</v>
      </c>
      <c r="Y29" s="62"/>
      <c r="Z29" s="143"/>
      <c r="AA29" s="13">
        <f t="shared" si="27"/>
        <v>65</v>
      </c>
      <c r="AB29" s="62">
        <f>-6+20+60</f>
        <v>74</v>
      </c>
      <c r="AC29" s="143">
        <f>4+7+54</f>
        <v>65</v>
      </c>
      <c r="AD29" s="13">
        <f t="shared" si="28"/>
        <v>74</v>
      </c>
      <c r="AE29" s="61">
        <f>-21+40+40</f>
        <v>59</v>
      </c>
      <c r="AF29" s="143">
        <f>4+10+60</f>
        <v>74</v>
      </c>
      <c r="AG29" s="13">
        <f>AD29+AE29-AF29</f>
        <v>59</v>
      </c>
      <c r="AH29" s="62"/>
      <c r="AI29" s="143"/>
      <c r="AJ29" s="13">
        <f t="shared" si="30"/>
        <v>59</v>
      </c>
      <c r="AK29" s="61">
        <v>50</v>
      </c>
      <c r="AL29" s="143">
        <f>8+40</f>
        <v>48</v>
      </c>
      <c r="AM29" s="13">
        <f t="shared" si="6"/>
        <v>61</v>
      </c>
      <c r="AN29" s="61">
        <f>50+40</f>
        <v>90</v>
      </c>
      <c r="AO29" s="143">
        <f>1+3+42</f>
        <v>46</v>
      </c>
      <c r="AP29" s="13">
        <f t="shared" si="7"/>
        <v>105</v>
      </c>
      <c r="AQ29" s="62">
        <f>40+30</f>
        <v>70</v>
      </c>
      <c r="AR29" s="143">
        <f>9+10+52</f>
        <v>71</v>
      </c>
      <c r="AS29" s="13">
        <f t="shared" si="8"/>
        <v>104</v>
      </c>
      <c r="AT29" s="61"/>
      <c r="AU29" s="143"/>
      <c r="AV29" s="13">
        <f t="shared" si="9"/>
        <v>104</v>
      </c>
      <c r="AW29" s="62"/>
      <c r="AX29" s="143">
        <f>9+4+58</f>
        <v>71</v>
      </c>
      <c r="AY29" s="13">
        <f t="shared" si="10"/>
        <v>33</v>
      </c>
      <c r="AZ29" s="62">
        <f>-47+60+60</f>
        <v>73</v>
      </c>
      <c r="BA29" s="143">
        <f>6+10+17+2</f>
        <v>35</v>
      </c>
      <c r="BB29" s="13">
        <f t="shared" si="11"/>
        <v>71</v>
      </c>
      <c r="BC29" s="62"/>
      <c r="BD29" s="143">
        <f>8+2</f>
        <v>10</v>
      </c>
      <c r="BE29" s="13">
        <f t="shared" si="12"/>
        <v>61</v>
      </c>
      <c r="BF29" s="62">
        <f>-4+50+30</f>
        <v>76</v>
      </c>
      <c r="BG29" s="143">
        <f>3+9+4+45</f>
        <v>61</v>
      </c>
      <c r="BH29" s="13">
        <f t="shared" si="13"/>
        <v>76</v>
      </c>
      <c r="BI29" s="62">
        <f>-13+50+50</f>
        <v>87</v>
      </c>
      <c r="BJ29" s="143">
        <f>2+7+62</f>
        <v>71</v>
      </c>
      <c r="BK29" s="13">
        <f t="shared" si="14"/>
        <v>92</v>
      </c>
      <c r="BL29" s="62">
        <f>50-13+20</f>
        <v>57</v>
      </c>
      <c r="BM29" s="143">
        <f>3+2+8+9+60</f>
        <v>82</v>
      </c>
      <c r="BN29" s="13">
        <f t="shared" si="15"/>
        <v>67</v>
      </c>
      <c r="BO29" s="62"/>
      <c r="BP29" s="143"/>
      <c r="BQ29" s="13">
        <f t="shared" si="16"/>
        <v>67</v>
      </c>
      <c r="BR29" s="62">
        <f>-35+80+80</f>
        <v>125</v>
      </c>
      <c r="BS29" s="143">
        <f>2+6+5+54</f>
        <v>67</v>
      </c>
      <c r="BT29" s="13">
        <f t="shared" si="17"/>
        <v>125</v>
      </c>
      <c r="BU29" s="62"/>
      <c r="BV29" s="143">
        <f>7+9+87+1+2</f>
        <v>106</v>
      </c>
      <c r="BW29" s="13">
        <f t="shared" si="18"/>
        <v>19</v>
      </c>
      <c r="BX29" s="62">
        <v>50</v>
      </c>
      <c r="BY29" s="143"/>
      <c r="BZ29" s="13">
        <f t="shared" si="19"/>
        <v>69</v>
      </c>
      <c r="CA29" s="62">
        <f>-60+50+80</f>
        <v>70</v>
      </c>
      <c r="CB29" s="143">
        <f>8+9+51</f>
        <v>68</v>
      </c>
      <c r="CC29" s="13">
        <f t="shared" si="20"/>
        <v>71</v>
      </c>
      <c r="CD29" s="61">
        <f>-20+50+80</f>
        <v>110</v>
      </c>
      <c r="CE29" s="143">
        <f>1+3+8+3+56</f>
        <v>71</v>
      </c>
      <c r="CF29" s="13">
        <f t="shared" si="21"/>
        <v>110</v>
      </c>
      <c r="CG29" s="61">
        <f>-47+40+80</f>
        <v>73</v>
      </c>
      <c r="CH29" s="143">
        <f>16+14+80</f>
        <v>110</v>
      </c>
      <c r="CI29" s="13">
        <f t="shared" si="31"/>
        <v>73</v>
      </c>
      <c r="CJ29" s="61"/>
      <c r="CK29" s="143"/>
      <c r="CL29" s="13">
        <f t="shared" si="32"/>
        <v>73</v>
      </c>
      <c r="CM29" s="62">
        <f>-14+80</f>
        <v>66</v>
      </c>
      <c r="CN29" s="143">
        <f>8+8+57</f>
        <v>73</v>
      </c>
      <c r="CO29" s="13">
        <f t="shared" si="22"/>
        <v>66</v>
      </c>
      <c r="CP29" s="62">
        <f>-56+80</f>
        <v>24</v>
      </c>
      <c r="CQ29" s="143">
        <f>9+3+54</f>
        <v>66</v>
      </c>
      <c r="CR29" s="13">
        <f t="shared" si="33"/>
        <v>24</v>
      </c>
      <c r="CS29" s="62"/>
      <c r="CT29" s="143"/>
      <c r="CU29" s="14">
        <f t="shared" si="23"/>
        <v>24</v>
      </c>
      <c r="CV29" s="5">
        <f t="shared" si="24"/>
        <v>1442</v>
      </c>
      <c r="CW29" s="4">
        <f t="shared" si="24"/>
        <v>1448</v>
      </c>
      <c r="CX29" s="6">
        <f t="shared" si="25"/>
        <v>24</v>
      </c>
      <c r="CY29" s="162">
        <v>180</v>
      </c>
      <c r="CZ29" s="171">
        <f t="shared" si="26"/>
        <v>4320</v>
      </c>
      <c r="DB29" s="2">
        <f t="shared" si="34"/>
        <v>24</v>
      </c>
      <c r="DC29" s="62"/>
      <c r="DD29" s="143"/>
      <c r="DE29" s="149">
        <f t="shared" si="35"/>
        <v>24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1"/>
      <c r="AF30" s="143"/>
      <c r="AG30" s="13">
        <f>AD30+AE30-AF30</f>
        <v>0</v>
      </c>
      <c r="AH30" s="62"/>
      <c r="AI30" s="143"/>
      <c r="AJ30" s="13">
        <f t="shared" si="30"/>
        <v>0</v>
      </c>
      <c r="AK30" s="61"/>
      <c r="AL30" s="143"/>
      <c r="AM30" s="13">
        <f t="shared" si="6"/>
        <v>0</v>
      </c>
      <c r="AN30" s="61"/>
      <c r="AO30" s="143"/>
      <c r="AP30" s="13">
        <f t="shared" si="7"/>
        <v>0</v>
      </c>
      <c r="AQ30" s="62"/>
      <c r="AR30" s="143"/>
      <c r="AS30" s="13">
        <f t="shared" si="8"/>
        <v>0</v>
      </c>
      <c r="AT30" s="61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1"/>
      <c r="CE30" s="143"/>
      <c r="CF30" s="13">
        <f t="shared" si="21"/>
        <v>0</v>
      </c>
      <c r="CG30" s="61"/>
      <c r="CH30" s="143"/>
      <c r="CI30" s="13">
        <f t="shared" si="31"/>
        <v>0</v>
      </c>
      <c r="CJ30" s="61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2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1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1"/>
      <c r="AL31" s="143"/>
      <c r="AM31" s="13">
        <f t="shared" si="6"/>
        <v>0</v>
      </c>
      <c r="AN31" s="61"/>
      <c r="AO31" s="143"/>
      <c r="AP31" s="13">
        <f t="shared" si="7"/>
        <v>0</v>
      </c>
      <c r="AQ31" s="62"/>
      <c r="AR31" s="143"/>
      <c r="AS31" s="13">
        <f t="shared" si="8"/>
        <v>0</v>
      </c>
      <c r="AT31" s="61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1"/>
      <c r="CE31" s="143"/>
      <c r="CF31" s="13">
        <f t="shared" si="21"/>
        <v>0</v>
      </c>
      <c r="CG31" s="61"/>
      <c r="CH31" s="143"/>
      <c r="CI31" s="13">
        <f t="shared" si="31"/>
        <v>0</v>
      </c>
      <c r="CJ31" s="61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2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18</v>
      </c>
      <c r="G32" s="62">
        <f>48-28+3+72</f>
        <v>95</v>
      </c>
      <c r="H32" s="143">
        <f>6+12</f>
        <v>18</v>
      </c>
      <c r="I32" s="13">
        <f t="shared" si="0"/>
        <v>95</v>
      </c>
      <c r="J32" s="62">
        <v>48</v>
      </c>
      <c r="K32" s="143">
        <f>6+3+9+43</f>
        <v>61</v>
      </c>
      <c r="L32" s="13">
        <f t="shared" si="1"/>
        <v>82</v>
      </c>
      <c r="M32" s="62"/>
      <c r="N32" s="143"/>
      <c r="O32" s="13">
        <f t="shared" si="2"/>
        <v>82</v>
      </c>
      <c r="P32" s="62">
        <v>48</v>
      </c>
      <c r="Q32" s="143">
        <f>6+5+42</f>
        <v>53</v>
      </c>
      <c r="R32" s="30">
        <f t="shared" si="3"/>
        <v>77</v>
      </c>
      <c r="S32" s="62">
        <v>48</v>
      </c>
      <c r="T32" s="143">
        <f>6+29</f>
        <v>35</v>
      </c>
      <c r="U32" s="13">
        <f t="shared" si="4"/>
        <v>90</v>
      </c>
      <c r="V32" s="62">
        <v>48</v>
      </c>
      <c r="W32" s="143">
        <f>6+6+57</f>
        <v>69</v>
      </c>
      <c r="X32" s="13">
        <f t="shared" si="5"/>
        <v>69</v>
      </c>
      <c r="Y32" s="62"/>
      <c r="Z32" s="143"/>
      <c r="AA32" s="13">
        <f t="shared" si="27"/>
        <v>69</v>
      </c>
      <c r="AB32" s="62">
        <f>24+48</f>
        <v>72</v>
      </c>
      <c r="AC32" s="143">
        <f>6+18+24</f>
        <v>48</v>
      </c>
      <c r="AD32" s="13">
        <f t="shared" si="28"/>
        <v>93</v>
      </c>
      <c r="AE32" s="61">
        <f>-7+48</f>
        <v>41</v>
      </c>
      <c r="AF32" s="143">
        <f>9+9+7+24+41</f>
        <v>90</v>
      </c>
      <c r="AG32" s="13">
        <f t="shared" si="29"/>
        <v>44</v>
      </c>
      <c r="AH32" s="62"/>
      <c r="AI32" s="143"/>
      <c r="AJ32" s="13">
        <f t="shared" si="30"/>
        <v>44</v>
      </c>
      <c r="AK32" s="61">
        <v>24</v>
      </c>
      <c r="AL32" s="143">
        <v>20</v>
      </c>
      <c r="AM32" s="13">
        <f t="shared" si="6"/>
        <v>48</v>
      </c>
      <c r="AN32" s="61">
        <v>96</v>
      </c>
      <c r="AO32" s="143">
        <v>36</v>
      </c>
      <c r="AP32" s="13">
        <f t="shared" si="7"/>
        <v>108</v>
      </c>
      <c r="AQ32" s="62">
        <v>72</v>
      </c>
      <c r="AR32" s="143">
        <f>8+60+1</f>
        <v>69</v>
      </c>
      <c r="AS32" s="13">
        <f t="shared" si="8"/>
        <v>111</v>
      </c>
      <c r="AT32" s="61"/>
      <c r="AU32" s="143"/>
      <c r="AV32" s="13">
        <f t="shared" si="9"/>
        <v>111</v>
      </c>
      <c r="AW32" s="64"/>
      <c r="AX32" s="143">
        <f>7+42</f>
        <v>49</v>
      </c>
      <c r="AY32" s="13">
        <f t="shared" si="10"/>
        <v>62</v>
      </c>
      <c r="AZ32" s="62">
        <f>-6+48</f>
        <v>42</v>
      </c>
      <c r="BA32" s="143">
        <f>7+9+6+24+16+2</f>
        <v>64</v>
      </c>
      <c r="BB32" s="13">
        <f t="shared" si="11"/>
        <v>40</v>
      </c>
      <c r="BC32" s="62"/>
      <c r="BD32" s="143"/>
      <c r="BE32" s="13">
        <f t="shared" si="12"/>
        <v>40</v>
      </c>
      <c r="BF32" s="62"/>
      <c r="BG32" s="143">
        <f>6+18</f>
        <v>24</v>
      </c>
      <c r="BH32" s="13">
        <f t="shared" si="13"/>
        <v>16</v>
      </c>
      <c r="BI32" s="62"/>
      <c r="BJ32" s="143"/>
      <c r="BK32" s="13">
        <f t="shared" si="14"/>
        <v>16</v>
      </c>
      <c r="BL32" s="62"/>
      <c r="BM32" s="143">
        <f>6+3</f>
        <v>9</v>
      </c>
      <c r="BN32" s="13">
        <f t="shared" si="15"/>
        <v>7</v>
      </c>
      <c r="BO32" s="62"/>
      <c r="BP32" s="143"/>
      <c r="BQ32" s="13">
        <f t="shared" si="16"/>
        <v>7</v>
      </c>
      <c r="BR32" s="62"/>
      <c r="BS32" s="143"/>
      <c r="BT32" s="13">
        <f t="shared" si="17"/>
        <v>7</v>
      </c>
      <c r="BU32" s="62"/>
      <c r="BV32" s="143"/>
      <c r="BW32" s="13">
        <f t="shared" si="18"/>
        <v>7</v>
      </c>
      <c r="BX32" s="62"/>
      <c r="BY32" s="143"/>
      <c r="BZ32" s="13">
        <f t="shared" si="19"/>
        <v>7</v>
      </c>
      <c r="CA32" s="62"/>
      <c r="CB32" s="143"/>
      <c r="CC32" s="13">
        <f t="shared" si="20"/>
        <v>7</v>
      </c>
      <c r="CD32" s="61"/>
      <c r="CE32" s="143"/>
      <c r="CF32" s="13">
        <f t="shared" si="21"/>
        <v>7</v>
      </c>
      <c r="CG32" s="61"/>
      <c r="CH32" s="143"/>
      <c r="CI32" s="13">
        <f t="shared" si="31"/>
        <v>7</v>
      </c>
      <c r="CJ32" s="61"/>
      <c r="CK32" s="143"/>
      <c r="CL32" s="13">
        <f t="shared" si="32"/>
        <v>7</v>
      </c>
      <c r="CM32" s="62">
        <v>24</v>
      </c>
      <c r="CN32" s="143"/>
      <c r="CO32" s="13">
        <f t="shared" si="22"/>
        <v>31</v>
      </c>
      <c r="CP32" s="62"/>
      <c r="CQ32" s="143">
        <f>8+4+2</f>
        <v>14</v>
      </c>
      <c r="CR32" s="13">
        <f t="shared" si="33"/>
        <v>17</v>
      </c>
      <c r="CS32" s="62"/>
      <c r="CT32" s="143"/>
      <c r="CU32" s="14">
        <f t="shared" si="23"/>
        <v>17</v>
      </c>
      <c r="CV32" s="5">
        <f t="shared" si="24"/>
        <v>658</v>
      </c>
      <c r="CW32" s="4">
        <f t="shared" si="24"/>
        <v>659</v>
      </c>
      <c r="CX32" s="6">
        <f t="shared" si="25"/>
        <v>17</v>
      </c>
      <c r="CY32" s="162">
        <v>150</v>
      </c>
      <c r="CZ32" s="171">
        <f t="shared" si="26"/>
        <v>2550</v>
      </c>
      <c r="DB32" s="2">
        <f t="shared" si="34"/>
        <v>17</v>
      </c>
      <c r="DC32" s="62"/>
      <c r="DD32" s="143"/>
      <c r="DE32" s="149">
        <f t="shared" si="35"/>
        <v>17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1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1"/>
      <c r="AL33" s="143"/>
      <c r="AM33" s="13">
        <f t="shared" si="6"/>
        <v>0</v>
      </c>
      <c r="AN33" s="61"/>
      <c r="AO33" s="143"/>
      <c r="AP33" s="13">
        <f t="shared" si="7"/>
        <v>0</v>
      </c>
      <c r="AQ33" s="62"/>
      <c r="AR33" s="143"/>
      <c r="AS33" s="13">
        <f t="shared" si="8"/>
        <v>0</v>
      </c>
      <c r="AT33" s="61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1"/>
      <c r="CE33" s="143"/>
      <c r="CF33" s="13">
        <f t="shared" si="21"/>
        <v>0</v>
      </c>
      <c r="CG33" s="61"/>
      <c r="CH33" s="143"/>
      <c r="CI33" s="13">
        <f t="shared" si="31"/>
        <v>0</v>
      </c>
      <c r="CJ33" s="61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2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1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1"/>
      <c r="AL34" s="143"/>
      <c r="AM34" s="13">
        <f t="shared" si="6"/>
        <v>0</v>
      </c>
      <c r="AN34" s="61"/>
      <c r="AO34" s="143"/>
      <c r="AP34" s="13">
        <f t="shared" si="7"/>
        <v>0</v>
      </c>
      <c r="AQ34" s="62"/>
      <c r="AR34" s="143"/>
      <c r="AS34" s="13">
        <f t="shared" si="8"/>
        <v>0</v>
      </c>
      <c r="AT34" s="61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1"/>
      <c r="CE34" s="143"/>
      <c r="CF34" s="13">
        <f t="shared" si="21"/>
        <v>0</v>
      </c>
      <c r="CG34" s="61"/>
      <c r="CH34" s="143"/>
      <c r="CI34" s="13">
        <f t="shared" si="31"/>
        <v>0</v>
      </c>
      <c r="CJ34" s="61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2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1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1"/>
      <c r="AL35" s="143"/>
      <c r="AM35" s="13">
        <f t="shared" si="6"/>
        <v>0</v>
      </c>
      <c r="AN35" s="61"/>
      <c r="AO35" s="143"/>
      <c r="AP35" s="13">
        <f t="shared" si="7"/>
        <v>0</v>
      </c>
      <c r="AQ35" s="62"/>
      <c r="AR35" s="143"/>
      <c r="AS35" s="13">
        <f t="shared" si="8"/>
        <v>0</v>
      </c>
      <c r="AT35" s="61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1"/>
      <c r="CE35" s="143"/>
      <c r="CF35" s="13">
        <f t="shared" si="21"/>
        <v>0</v>
      </c>
      <c r="CG35" s="61"/>
      <c r="CH35" s="143"/>
      <c r="CI35" s="13">
        <f t="shared" si="31"/>
        <v>0</v>
      </c>
      <c r="CJ35" s="61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2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317</v>
      </c>
      <c r="E36" s="35" t="s">
        <v>51</v>
      </c>
      <c r="F36" s="14">
        <v>10</v>
      </c>
      <c r="G36" s="62">
        <f>2+4</f>
        <v>6</v>
      </c>
      <c r="H36" s="143">
        <f>1+4</f>
        <v>5</v>
      </c>
      <c r="I36" s="13">
        <f t="shared" si="0"/>
        <v>11</v>
      </c>
      <c r="J36" s="62">
        <f>2+4</f>
        <v>6</v>
      </c>
      <c r="K36" s="143">
        <f>1+5</f>
        <v>6</v>
      </c>
      <c r="L36" s="13">
        <f t="shared" si="1"/>
        <v>11</v>
      </c>
      <c r="M36" s="62"/>
      <c r="N36" s="143">
        <f>1</f>
        <v>1</v>
      </c>
      <c r="O36" s="13">
        <f t="shared" si="2"/>
        <v>10</v>
      </c>
      <c r="P36" s="62">
        <f>2+4</f>
        <v>6</v>
      </c>
      <c r="Q36" s="143">
        <v>8</v>
      </c>
      <c r="R36" s="30">
        <f t="shared" si="3"/>
        <v>8</v>
      </c>
      <c r="S36" s="62">
        <f>2+4</f>
        <v>6</v>
      </c>
      <c r="T36" s="143">
        <v>5</v>
      </c>
      <c r="U36" s="13">
        <f t="shared" si="4"/>
        <v>9</v>
      </c>
      <c r="V36" s="62">
        <f>2+4+4</f>
        <v>10</v>
      </c>
      <c r="W36" s="143">
        <f>3+6</f>
        <v>9</v>
      </c>
      <c r="X36" s="13">
        <f t="shared" si="5"/>
        <v>10</v>
      </c>
      <c r="Y36" s="62"/>
      <c r="Z36" s="143"/>
      <c r="AA36" s="13">
        <f t="shared" si="27"/>
        <v>10</v>
      </c>
      <c r="AB36" s="62">
        <f>-3+2+4+5</f>
        <v>8</v>
      </c>
      <c r="AC36" s="143">
        <f>7+3</f>
        <v>10</v>
      </c>
      <c r="AD36" s="13">
        <f t="shared" si="28"/>
        <v>8</v>
      </c>
      <c r="AE36" s="61">
        <f>2+4</f>
        <v>6</v>
      </c>
      <c r="AF36" s="143">
        <f>4</f>
        <v>4</v>
      </c>
      <c r="AG36" s="13">
        <f t="shared" si="29"/>
        <v>10</v>
      </c>
      <c r="AH36" s="62"/>
      <c r="AI36" s="143">
        <v>2</v>
      </c>
      <c r="AJ36" s="13">
        <f t="shared" si="30"/>
        <v>8</v>
      </c>
      <c r="AK36" s="61">
        <f>4+2+4</f>
        <v>10</v>
      </c>
      <c r="AL36" s="143">
        <f>1+7</f>
        <v>8</v>
      </c>
      <c r="AM36" s="13">
        <f t="shared" si="6"/>
        <v>10</v>
      </c>
      <c r="AN36" s="61">
        <f>2+4+4</f>
        <v>10</v>
      </c>
      <c r="AO36" s="143">
        <v>3</v>
      </c>
      <c r="AP36" s="13">
        <f t="shared" si="7"/>
        <v>17</v>
      </c>
      <c r="AQ36" s="62">
        <f>2+4+6</f>
        <v>12</v>
      </c>
      <c r="AR36" s="143">
        <f>7+7</f>
        <v>14</v>
      </c>
      <c r="AS36" s="13">
        <f t="shared" si="8"/>
        <v>15</v>
      </c>
      <c r="AT36" s="61"/>
      <c r="AU36" s="143"/>
      <c r="AV36" s="13">
        <f t="shared" si="9"/>
        <v>15</v>
      </c>
      <c r="AW36" s="62"/>
      <c r="AX36" s="143">
        <v>6</v>
      </c>
      <c r="AY36" s="13">
        <f t="shared" si="10"/>
        <v>9</v>
      </c>
      <c r="AZ36" s="62">
        <f>-5+8+5</f>
        <v>8</v>
      </c>
      <c r="BA36" s="143">
        <v>9</v>
      </c>
      <c r="BB36" s="13">
        <f t="shared" si="11"/>
        <v>8</v>
      </c>
      <c r="BC36" s="62"/>
      <c r="BD36" s="143">
        <v>1</v>
      </c>
      <c r="BE36" s="13">
        <f t="shared" si="12"/>
        <v>7</v>
      </c>
      <c r="BF36" s="62">
        <f>2+4</f>
        <v>6</v>
      </c>
      <c r="BG36" s="143">
        <v>4</v>
      </c>
      <c r="BH36" s="13">
        <f t="shared" si="13"/>
        <v>9</v>
      </c>
      <c r="BI36" s="62">
        <f>2+4+4</f>
        <v>10</v>
      </c>
      <c r="BJ36" s="143">
        <v>4</v>
      </c>
      <c r="BK36" s="13">
        <f t="shared" si="14"/>
        <v>15</v>
      </c>
      <c r="BL36" s="62">
        <f>2+4+4</f>
        <v>10</v>
      </c>
      <c r="BM36" s="143">
        <v>7</v>
      </c>
      <c r="BN36" s="13">
        <f t="shared" si="15"/>
        <v>18</v>
      </c>
      <c r="BO36" s="62"/>
      <c r="BP36" s="143"/>
      <c r="BQ36" s="13">
        <f t="shared" si="16"/>
        <v>18</v>
      </c>
      <c r="BR36" s="62">
        <f>2+4</f>
        <v>6</v>
      </c>
      <c r="BS36" s="143">
        <f>3+6+1</f>
        <v>10</v>
      </c>
      <c r="BT36" s="13">
        <f t="shared" si="17"/>
        <v>14</v>
      </c>
      <c r="BU36" s="62"/>
      <c r="BV36" s="143">
        <v>9</v>
      </c>
      <c r="BW36" s="13">
        <f t="shared" si="18"/>
        <v>5</v>
      </c>
      <c r="BX36" s="62">
        <f>-1+2+4+5</f>
        <v>10</v>
      </c>
      <c r="BY36" s="143">
        <f>2</f>
        <v>2</v>
      </c>
      <c r="BZ36" s="13">
        <f t="shared" si="19"/>
        <v>13</v>
      </c>
      <c r="CA36" s="62">
        <f>2+4</f>
        <v>6</v>
      </c>
      <c r="CB36" s="143">
        <v>5</v>
      </c>
      <c r="CC36" s="13">
        <f t="shared" si="20"/>
        <v>14</v>
      </c>
      <c r="CD36" s="61">
        <f>2+4</f>
        <v>6</v>
      </c>
      <c r="CE36" s="143">
        <v>3</v>
      </c>
      <c r="CF36" s="13">
        <f t="shared" si="21"/>
        <v>17</v>
      </c>
      <c r="CG36" s="61">
        <f>2+4</f>
        <v>6</v>
      </c>
      <c r="CH36" s="143">
        <f>1+3+8</f>
        <v>12</v>
      </c>
      <c r="CI36" s="13">
        <f t="shared" si="31"/>
        <v>11</v>
      </c>
      <c r="CJ36" s="61"/>
      <c r="CK36" s="143"/>
      <c r="CL36" s="13">
        <f t="shared" si="32"/>
        <v>11</v>
      </c>
      <c r="CM36" s="62">
        <v>6</v>
      </c>
      <c r="CN36" s="143">
        <v>4</v>
      </c>
      <c r="CO36" s="13">
        <f t="shared" si="22"/>
        <v>13</v>
      </c>
      <c r="CP36" s="62">
        <f>2+4</f>
        <v>6</v>
      </c>
      <c r="CQ36" s="143">
        <f>8+1</f>
        <v>9</v>
      </c>
      <c r="CR36" s="13">
        <f t="shared" si="33"/>
        <v>10</v>
      </c>
      <c r="CS36" s="62"/>
      <c r="CT36" s="143"/>
      <c r="CU36" s="14">
        <f t="shared" si="23"/>
        <v>10</v>
      </c>
      <c r="CV36" s="5">
        <f t="shared" si="24"/>
        <v>160</v>
      </c>
      <c r="CW36" s="4">
        <f t="shared" si="24"/>
        <v>160</v>
      </c>
      <c r="CX36" s="6">
        <f t="shared" si="25"/>
        <v>10</v>
      </c>
      <c r="CY36" s="162">
        <v>2000</v>
      </c>
      <c r="CZ36" s="171">
        <f t="shared" si="26"/>
        <v>20000</v>
      </c>
      <c r="DB36" s="2">
        <f t="shared" si="34"/>
        <v>10</v>
      </c>
      <c r="DC36" s="62"/>
      <c r="DD36" s="143"/>
      <c r="DE36" s="149">
        <f t="shared" si="35"/>
        <v>10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1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1"/>
      <c r="AL37" s="143"/>
      <c r="AM37" s="13">
        <f t="shared" si="6"/>
        <v>0</v>
      </c>
      <c r="AN37" s="61"/>
      <c r="AO37" s="143"/>
      <c r="AP37" s="13">
        <f t="shared" si="7"/>
        <v>0</v>
      </c>
      <c r="AQ37" s="62"/>
      <c r="AR37" s="143"/>
      <c r="AS37" s="13">
        <f t="shared" si="8"/>
        <v>0</v>
      </c>
      <c r="AT37" s="61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1"/>
      <c r="CE37" s="143"/>
      <c r="CF37" s="13">
        <f t="shared" si="21"/>
        <v>0</v>
      </c>
      <c r="CG37" s="61"/>
      <c r="CH37" s="143"/>
      <c r="CI37" s="13">
        <f t="shared" si="31"/>
        <v>0</v>
      </c>
      <c r="CJ37" s="61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2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/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1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1"/>
      <c r="AL38" s="143"/>
      <c r="AM38" s="13">
        <f t="shared" si="6"/>
        <v>0</v>
      </c>
      <c r="AN38" s="61"/>
      <c r="AO38" s="143"/>
      <c r="AP38" s="13">
        <f t="shared" si="7"/>
        <v>0</v>
      </c>
      <c r="AQ38" s="62"/>
      <c r="AR38" s="143"/>
      <c r="AS38" s="13">
        <f t="shared" si="8"/>
        <v>0</v>
      </c>
      <c r="AT38" s="61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 t="s">
        <v>320</v>
      </c>
      <c r="E39" s="34" t="s">
        <v>83</v>
      </c>
      <c r="F39" s="14">
        <v>5</v>
      </c>
      <c r="G39" s="62">
        <f>10+10</f>
        <v>20</v>
      </c>
      <c r="H39" s="143">
        <v>5</v>
      </c>
      <c r="I39" s="13">
        <f t="shared" si="0"/>
        <v>20</v>
      </c>
      <c r="J39" s="62"/>
      <c r="K39" s="143">
        <f>7+1+6</f>
        <v>14</v>
      </c>
      <c r="L39" s="13">
        <f t="shared" si="1"/>
        <v>6</v>
      </c>
      <c r="M39" s="62"/>
      <c r="N39" s="143"/>
      <c r="O39" s="13">
        <f t="shared" si="2"/>
        <v>6</v>
      </c>
      <c r="P39" s="62">
        <v>10</v>
      </c>
      <c r="Q39" s="143">
        <v>3</v>
      </c>
      <c r="R39" s="30">
        <f t="shared" si="3"/>
        <v>13</v>
      </c>
      <c r="S39" s="62"/>
      <c r="T39" s="143">
        <v>5</v>
      </c>
      <c r="U39" s="13">
        <f t="shared" si="4"/>
        <v>8</v>
      </c>
      <c r="V39" s="62"/>
      <c r="W39" s="143">
        <v>1</v>
      </c>
      <c r="X39" s="13">
        <f t="shared" si="5"/>
        <v>7</v>
      </c>
      <c r="Y39" s="62"/>
      <c r="Z39" s="143"/>
      <c r="AA39" s="13">
        <f t="shared" si="27"/>
        <v>7</v>
      </c>
      <c r="AB39" s="62">
        <v>10</v>
      </c>
      <c r="AC39" s="143">
        <f>4+2</f>
        <v>6</v>
      </c>
      <c r="AD39" s="13">
        <f t="shared" si="28"/>
        <v>11</v>
      </c>
      <c r="AE39" s="61"/>
      <c r="AF39" s="143">
        <v>3</v>
      </c>
      <c r="AG39" s="13">
        <f t="shared" si="29"/>
        <v>8</v>
      </c>
      <c r="AH39" s="62"/>
      <c r="AI39" s="143"/>
      <c r="AJ39" s="13">
        <f t="shared" si="30"/>
        <v>8</v>
      </c>
      <c r="AK39" s="61"/>
      <c r="AL39" s="143">
        <v>2</v>
      </c>
      <c r="AM39" s="13">
        <f t="shared" si="6"/>
        <v>6</v>
      </c>
      <c r="AN39" s="61">
        <v>10</v>
      </c>
      <c r="AO39" s="143">
        <v>3</v>
      </c>
      <c r="AP39" s="13">
        <f t="shared" si="7"/>
        <v>13</v>
      </c>
      <c r="AQ39" s="62">
        <v>10</v>
      </c>
      <c r="AR39" s="143">
        <v>3</v>
      </c>
      <c r="AS39" s="13">
        <f t="shared" si="8"/>
        <v>20</v>
      </c>
      <c r="AT39" s="61"/>
      <c r="AU39" s="143"/>
      <c r="AV39" s="13">
        <f t="shared" si="9"/>
        <v>20</v>
      </c>
      <c r="AW39" s="62"/>
      <c r="AX39" s="143">
        <v>5</v>
      </c>
      <c r="AY39" s="13">
        <f t="shared" si="10"/>
        <v>15</v>
      </c>
      <c r="AZ39" s="62">
        <f>-3+10+10</f>
        <v>17</v>
      </c>
      <c r="BA39" s="143">
        <f>7+8</f>
        <v>15</v>
      </c>
      <c r="BB39" s="13">
        <f t="shared" si="11"/>
        <v>17</v>
      </c>
      <c r="BC39" s="62"/>
      <c r="BD39" s="143">
        <f>2</f>
        <v>2</v>
      </c>
      <c r="BE39" s="13">
        <f t="shared" si="12"/>
        <v>15</v>
      </c>
      <c r="BF39" s="62">
        <f>-11+40</f>
        <v>29</v>
      </c>
      <c r="BG39" s="143">
        <f>5+4+2+4</f>
        <v>15</v>
      </c>
      <c r="BH39" s="13">
        <f t="shared" si="13"/>
        <v>29</v>
      </c>
      <c r="BI39" s="62">
        <v>20</v>
      </c>
      <c r="BJ39" s="143">
        <v>23</v>
      </c>
      <c r="BK39" s="13">
        <f t="shared" si="14"/>
        <v>26</v>
      </c>
      <c r="BL39" s="62">
        <f>-18+50</f>
        <v>32</v>
      </c>
      <c r="BM39" s="143">
        <f>1+25</f>
        <v>26</v>
      </c>
      <c r="BN39" s="13">
        <f t="shared" si="15"/>
        <v>32</v>
      </c>
      <c r="BO39" s="62"/>
      <c r="BP39" s="143"/>
      <c r="BQ39" s="13">
        <f t="shared" si="16"/>
        <v>32</v>
      </c>
      <c r="BR39" s="62">
        <f>30+20</f>
        <v>50</v>
      </c>
      <c r="BS39" s="143">
        <f>4+4+17+4</f>
        <v>29</v>
      </c>
      <c r="BT39" s="13">
        <f t="shared" si="17"/>
        <v>53</v>
      </c>
      <c r="BU39" s="62"/>
      <c r="BV39" s="143">
        <f>5+26</f>
        <v>31</v>
      </c>
      <c r="BW39" s="13">
        <f t="shared" si="18"/>
        <v>22</v>
      </c>
      <c r="BX39" s="62">
        <v>20</v>
      </c>
      <c r="BY39" s="143"/>
      <c r="BZ39" s="13">
        <f t="shared" si="19"/>
        <v>42</v>
      </c>
      <c r="CA39" s="62">
        <v>20</v>
      </c>
      <c r="CB39" s="143">
        <f>5+26</f>
        <v>31</v>
      </c>
      <c r="CC39" s="13">
        <f t="shared" si="20"/>
        <v>31</v>
      </c>
      <c r="CD39" s="61">
        <f>10+20</f>
        <v>30</v>
      </c>
      <c r="CE39" s="143">
        <f>5+9</f>
        <v>14</v>
      </c>
      <c r="CF39" s="13">
        <f t="shared" si="21"/>
        <v>47</v>
      </c>
      <c r="CG39" s="61">
        <v>20</v>
      </c>
      <c r="CH39" s="143">
        <f>6+8+26</f>
        <v>40</v>
      </c>
      <c r="CI39" s="13">
        <f t="shared" si="31"/>
        <v>27</v>
      </c>
      <c r="CJ39" s="61"/>
      <c r="CK39" s="143"/>
      <c r="CL39" s="13">
        <f t="shared" si="32"/>
        <v>27</v>
      </c>
      <c r="CM39" s="62">
        <v>20</v>
      </c>
      <c r="CN39" s="143">
        <f>5+9</f>
        <v>14</v>
      </c>
      <c r="CO39" s="13">
        <f t="shared" si="22"/>
        <v>33</v>
      </c>
      <c r="CP39" s="62"/>
      <c r="CQ39" s="143">
        <v>15</v>
      </c>
      <c r="CR39" s="13">
        <f t="shared" si="33"/>
        <v>18</v>
      </c>
      <c r="CS39" s="62"/>
      <c r="CT39" s="143"/>
      <c r="CU39" s="14">
        <f t="shared" si="23"/>
        <v>18</v>
      </c>
      <c r="CV39" s="5">
        <f t="shared" si="36"/>
        <v>318</v>
      </c>
      <c r="CW39" s="4">
        <f t="shared" si="36"/>
        <v>305</v>
      </c>
      <c r="CX39" s="6">
        <f t="shared" si="25"/>
        <v>18</v>
      </c>
      <c r="CY39" s="162">
        <v>150</v>
      </c>
      <c r="CZ39" s="171">
        <f t="shared" si="26"/>
        <v>2700</v>
      </c>
      <c r="DB39" s="2">
        <f t="shared" si="34"/>
        <v>18</v>
      </c>
      <c r="DC39" s="62"/>
      <c r="DD39" s="143"/>
      <c r="DE39" s="149">
        <f t="shared" si="35"/>
        <v>18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20</v>
      </c>
      <c r="E40" s="159" t="s">
        <v>85</v>
      </c>
      <c r="F40" s="14">
        <v>21.560000000000002</v>
      </c>
      <c r="G40" s="62">
        <v>30</v>
      </c>
      <c r="H40" s="143">
        <f>1.5+1.1+1.8+0.8+1.5+0.6+1.3+1+0.7+0.6+0.6</f>
        <v>11.499999999999998</v>
      </c>
      <c r="I40" s="13">
        <f t="shared" si="0"/>
        <v>40.06</v>
      </c>
      <c r="J40" s="62"/>
      <c r="K40" s="143">
        <f>1.1+2.6+0.7+2.2+0.5+1+1.3+2.2</f>
        <v>11.600000000000001</v>
      </c>
      <c r="L40" s="13">
        <f t="shared" si="1"/>
        <v>28.46</v>
      </c>
      <c r="M40" s="62"/>
      <c r="N40" s="143">
        <f>2.6+0.4+1.6+0.5+1.2+0.4+2.4+1.1</f>
        <v>10.199999999999999</v>
      </c>
      <c r="O40" s="13">
        <f t="shared" si="2"/>
        <v>18.260000000000002</v>
      </c>
      <c r="P40" s="62">
        <v>20</v>
      </c>
      <c r="Q40" s="143">
        <f>1.9+2+2.2+2+0.4+1.5+0.5</f>
        <v>10.5</v>
      </c>
      <c r="R40" s="30">
        <f t="shared" si="3"/>
        <v>27.760000000000005</v>
      </c>
      <c r="S40" s="62"/>
      <c r="T40" s="143">
        <f>2+0.3+0.2+0.1+0.2+0.2+0.3+0.3</f>
        <v>3.6</v>
      </c>
      <c r="U40" s="13">
        <f t="shared" si="4"/>
        <v>24.160000000000004</v>
      </c>
      <c r="V40" s="62">
        <v>30</v>
      </c>
      <c r="W40" s="143">
        <f>2.3+0.9+2+0.5+2</f>
        <v>7.6999999999999993</v>
      </c>
      <c r="X40" s="13">
        <f t="shared" si="5"/>
        <v>46.460000000000008</v>
      </c>
      <c r="Y40" s="62"/>
      <c r="Z40" s="143"/>
      <c r="AA40" s="13">
        <f t="shared" si="27"/>
        <v>46.460000000000008</v>
      </c>
      <c r="AB40" s="62"/>
      <c r="AC40" s="143">
        <f>1+0.9+2.2+1.8+2+0.7+1.2+1.7+1.5+0.8+2.2+0.8</f>
        <v>16.8</v>
      </c>
      <c r="AD40" s="13">
        <f t="shared" si="28"/>
        <v>29.660000000000007</v>
      </c>
      <c r="AE40" s="61">
        <v>30</v>
      </c>
      <c r="AF40" s="143">
        <f>1+1.8+1+1.5+1.5+1.7+2.1+0.4+0.3+1</f>
        <v>12.3</v>
      </c>
      <c r="AG40" s="13">
        <f t="shared" si="29"/>
        <v>47.360000000000014</v>
      </c>
      <c r="AH40" s="62"/>
      <c r="AI40" s="143">
        <f>2.5+0.9+1.1+0.7+0.5+0.4+0.3+0.5+0.3</f>
        <v>7.2</v>
      </c>
      <c r="AJ40" s="13">
        <f t="shared" si="30"/>
        <v>40.160000000000011</v>
      </c>
      <c r="AK40" s="61"/>
      <c r="AL40" s="143">
        <f>1.3+1.1+2.3+1.4+1.5+0.7+1.4+0.8+0.06</f>
        <v>10.56</v>
      </c>
      <c r="AM40" s="13">
        <f t="shared" si="6"/>
        <v>29.600000000000009</v>
      </c>
      <c r="AN40" s="61"/>
      <c r="AO40" s="143">
        <f>2+0.4+0.2+0.2+0.2+0.3+0.4+0.2+0.6</f>
        <v>4.5</v>
      </c>
      <c r="AP40" s="13">
        <f t="shared" si="7"/>
        <v>25.100000000000009</v>
      </c>
      <c r="AQ40" s="62">
        <v>20</v>
      </c>
      <c r="AR40" s="143">
        <f>0.7+0.8</f>
        <v>1.5</v>
      </c>
      <c r="AS40" s="13">
        <f t="shared" si="8"/>
        <v>43.600000000000009</v>
      </c>
      <c r="AT40" s="61"/>
      <c r="AU40" s="143"/>
      <c r="AV40" s="13">
        <f t="shared" si="9"/>
        <v>43.600000000000009</v>
      </c>
      <c r="AW40" s="62"/>
      <c r="AX40" s="143"/>
      <c r="AY40" s="13">
        <f t="shared" si="10"/>
        <v>43.600000000000009</v>
      </c>
      <c r="AZ40" s="62">
        <v>20</v>
      </c>
      <c r="BA40" s="143">
        <f>1.2+1+2.2+0.8+1.6+2+1+1.1+0.8+1.4+1.4+0.5+0.8</f>
        <v>15.800000000000002</v>
      </c>
      <c r="BB40" s="13">
        <f t="shared" si="11"/>
        <v>47.800000000000004</v>
      </c>
      <c r="BC40" s="62"/>
      <c r="BD40" s="143">
        <f>2.5+1.8+1.5+1.3+1.2+1.3+0.4+2.4</f>
        <v>12.4</v>
      </c>
      <c r="BE40" s="13">
        <f t="shared" si="12"/>
        <v>35.400000000000006</v>
      </c>
      <c r="BF40" s="62"/>
      <c r="BG40" s="143">
        <f>1.1+2+2.1+1.5+1.5+1.6+1.5+1</f>
        <v>12.299999999999999</v>
      </c>
      <c r="BH40" s="13">
        <f t="shared" si="13"/>
        <v>23.100000000000009</v>
      </c>
      <c r="BI40" s="62">
        <v>20</v>
      </c>
      <c r="BJ40" s="143">
        <f>2+0.3+0.2+0.2+0.2+0.2+0.2+3.3</f>
        <v>6.6000000000000005</v>
      </c>
      <c r="BK40" s="13">
        <f t="shared" si="14"/>
        <v>36.500000000000007</v>
      </c>
      <c r="BL40" s="62"/>
      <c r="BM40" s="143">
        <f>1.7+0.6</f>
        <v>2.2999999999999998</v>
      </c>
      <c r="BN40" s="13">
        <f t="shared" si="15"/>
        <v>34.20000000000001</v>
      </c>
      <c r="BO40" s="62"/>
      <c r="BP40" s="143"/>
      <c r="BQ40" s="13">
        <f t="shared" si="16"/>
        <v>34.20000000000001</v>
      </c>
      <c r="BR40" s="62">
        <v>20</v>
      </c>
      <c r="BS40" s="143">
        <f>1.1+1.1+1.1+0.8+0.6</f>
        <v>4.7</v>
      </c>
      <c r="BT40" s="13">
        <f t="shared" si="17"/>
        <v>49.500000000000007</v>
      </c>
      <c r="BU40" s="62"/>
      <c r="BV40" s="143"/>
      <c r="BW40" s="13">
        <f t="shared" si="18"/>
        <v>49.500000000000007</v>
      </c>
      <c r="BX40" s="62"/>
      <c r="BY40" s="143">
        <f>2.5+1.9+1+1.1+1.6+1.2+0.5+0.9+0.4+0.6+0.6+0.5+0.6</f>
        <v>13.399999999999999</v>
      </c>
      <c r="BZ40" s="13">
        <f t="shared" si="19"/>
        <v>36.100000000000009</v>
      </c>
      <c r="CA40" s="62"/>
      <c r="CB40" s="143">
        <f>2.3+1.9+1.4+1.6+1.2+1.2+0.5+0.7</f>
        <v>10.799999999999997</v>
      </c>
      <c r="CC40" s="13">
        <f t="shared" si="20"/>
        <v>25.300000000000011</v>
      </c>
      <c r="CD40" s="62">
        <v>20</v>
      </c>
      <c r="CE40" s="143">
        <f>2+0.4+0.2+0.2+0.2+0.2+0.3+0.4+0.1+0.5</f>
        <v>4.5</v>
      </c>
      <c r="CF40" s="13">
        <f t="shared" si="21"/>
        <v>40.800000000000011</v>
      </c>
      <c r="CG40" s="62"/>
      <c r="CH40" s="143">
        <f>1.9+1.6+0.7+1+0.3+4.8</f>
        <v>10.3</v>
      </c>
      <c r="CI40" s="13">
        <f t="shared" si="31"/>
        <v>30.500000000000011</v>
      </c>
      <c r="CJ40" s="62"/>
      <c r="CK40" s="143"/>
      <c r="CL40" s="13">
        <f t="shared" si="32"/>
        <v>30.500000000000011</v>
      </c>
      <c r="CM40" s="62">
        <v>20</v>
      </c>
      <c r="CN40" s="143">
        <f>1.5+2+1.7+0.6+1.5+1.2+1.7+1.5+0.3+0.6+1.2</f>
        <v>13.799999999999999</v>
      </c>
      <c r="CO40" s="13">
        <f t="shared" si="22"/>
        <v>36.700000000000017</v>
      </c>
      <c r="CP40" s="62"/>
      <c r="CQ40" s="143">
        <f>1.1+0.9+0.9+1.5+0.9+1+0.6+4.1</f>
        <v>11</v>
      </c>
      <c r="CR40" s="13">
        <f t="shared" si="33"/>
        <v>25.700000000000017</v>
      </c>
      <c r="CS40" s="62"/>
      <c r="CT40" s="143"/>
      <c r="CU40" s="14">
        <f t="shared" si="23"/>
        <v>25.700000000000017</v>
      </c>
      <c r="CV40" s="5">
        <f t="shared" si="36"/>
        <v>230</v>
      </c>
      <c r="CW40" s="4">
        <f t="shared" si="36"/>
        <v>225.86</v>
      </c>
      <c r="CX40" s="6">
        <f t="shared" si="25"/>
        <v>25.700000000000017</v>
      </c>
      <c r="CY40" s="162">
        <v>200</v>
      </c>
      <c r="CZ40" s="171">
        <f t="shared" si="26"/>
        <v>5140.0000000000036</v>
      </c>
      <c r="DB40" s="2">
        <f t="shared" si="34"/>
        <v>25.700000000000017</v>
      </c>
      <c r="DC40" s="62"/>
      <c r="DD40" s="143"/>
      <c r="DE40" s="149">
        <f t="shared" si="35"/>
        <v>25.700000000000017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1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1"/>
      <c r="AL41" s="143"/>
      <c r="AM41" s="13">
        <f t="shared" si="6"/>
        <v>0</v>
      </c>
      <c r="AN41" s="61"/>
      <c r="AO41" s="143"/>
      <c r="AP41" s="13">
        <f t="shared" si="7"/>
        <v>0</v>
      </c>
      <c r="AQ41" s="62"/>
      <c r="AR41" s="143"/>
      <c r="AS41" s="13">
        <f t="shared" si="8"/>
        <v>0</v>
      </c>
      <c r="AT41" s="61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1"/>
      <c r="CE41" s="143"/>
      <c r="CF41" s="13">
        <f t="shared" si="21"/>
        <v>0</v>
      </c>
      <c r="CG41" s="61"/>
      <c r="CH41" s="143"/>
      <c r="CI41" s="13">
        <f t="shared" si="31"/>
        <v>0</v>
      </c>
      <c r="CJ41" s="61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2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>
        <v>1</v>
      </c>
      <c r="H42" s="143"/>
      <c r="I42" s="13">
        <f t="shared" si="0"/>
        <v>1</v>
      </c>
      <c r="J42" s="62">
        <v>1</v>
      </c>
      <c r="K42" s="143">
        <v>1</v>
      </c>
      <c r="L42" s="13">
        <f t="shared" si="1"/>
        <v>1</v>
      </c>
      <c r="M42" s="62"/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1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1"/>
      <c r="AL42" s="143"/>
      <c r="AM42" s="13">
        <f t="shared" si="6"/>
        <v>1</v>
      </c>
      <c r="AN42" s="61"/>
      <c r="AO42" s="143"/>
      <c r="AP42" s="13">
        <f t="shared" si="7"/>
        <v>1</v>
      </c>
      <c r="AQ42" s="62"/>
      <c r="AR42" s="143"/>
      <c r="AS42" s="13">
        <f t="shared" si="8"/>
        <v>1</v>
      </c>
      <c r="AT42" s="61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>
        <v>1</v>
      </c>
      <c r="BG42" s="143">
        <v>1</v>
      </c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>
        <v>1</v>
      </c>
      <c r="BS42" s="143">
        <v>1</v>
      </c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1"/>
      <c r="CE42" s="143"/>
      <c r="CF42" s="13">
        <f t="shared" si="21"/>
        <v>1</v>
      </c>
      <c r="CG42" s="61"/>
      <c r="CH42" s="143"/>
      <c r="CI42" s="13">
        <f t="shared" si="31"/>
        <v>1</v>
      </c>
      <c r="CJ42" s="61"/>
      <c r="CK42" s="143"/>
      <c r="CL42" s="13">
        <f t="shared" si="32"/>
        <v>1</v>
      </c>
      <c r="CM42" s="62"/>
      <c r="CN42" s="143"/>
      <c r="CO42" s="13">
        <f t="shared" si="22"/>
        <v>1</v>
      </c>
      <c r="CP42" s="62"/>
      <c r="CQ42" s="143">
        <v>1</v>
      </c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2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1</v>
      </c>
      <c r="G43" s="62">
        <f>-0.5+1</f>
        <v>0.5</v>
      </c>
      <c r="H43" s="143">
        <v>1</v>
      </c>
      <c r="I43" s="13">
        <f t="shared" si="0"/>
        <v>0.5</v>
      </c>
      <c r="J43" s="62"/>
      <c r="K43" s="143"/>
      <c r="L43" s="13">
        <f t="shared" si="1"/>
        <v>0.5</v>
      </c>
      <c r="M43" s="62"/>
      <c r="N43" s="143"/>
      <c r="O43" s="13">
        <f t="shared" si="2"/>
        <v>0.5</v>
      </c>
      <c r="P43" s="62">
        <v>1</v>
      </c>
      <c r="Q43" s="143"/>
      <c r="R43" s="30">
        <f t="shared" si="3"/>
        <v>1.5</v>
      </c>
      <c r="S43" s="62"/>
      <c r="T43" s="143">
        <f>0.5+1</f>
        <v>1.5</v>
      </c>
      <c r="U43" s="13">
        <f t="shared" si="4"/>
        <v>0</v>
      </c>
      <c r="V43" s="62"/>
      <c r="W43" s="143"/>
      <c r="X43" s="13">
        <f t="shared" si="5"/>
        <v>0</v>
      </c>
      <c r="Y43" s="62"/>
      <c r="Z43" s="143"/>
      <c r="AA43" s="13">
        <f t="shared" si="27"/>
        <v>0</v>
      </c>
      <c r="AB43" s="62">
        <v>1</v>
      </c>
      <c r="AC43" s="143"/>
      <c r="AD43" s="13">
        <f t="shared" si="28"/>
        <v>1</v>
      </c>
      <c r="AE43" s="61">
        <v>2</v>
      </c>
      <c r="AF43" s="143">
        <v>0.5</v>
      </c>
      <c r="AG43" s="13">
        <f t="shared" si="29"/>
        <v>2.5</v>
      </c>
      <c r="AH43" s="62"/>
      <c r="AI43" s="143">
        <f>0.5+0.5</f>
        <v>1</v>
      </c>
      <c r="AJ43" s="13">
        <f t="shared" si="30"/>
        <v>1.5</v>
      </c>
      <c r="AK43" s="61">
        <v>1</v>
      </c>
      <c r="AL43" s="143">
        <f>1+0.5</f>
        <v>1.5</v>
      </c>
      <c r="AM43" s="13">
        <f t="shared" si="6"/>
        <v>1</v>
      </c>
      <c r="AN43" s="61"/>
      <c r="AO43" s="143">
        <f>0.5</f>
        <v>0.5</v>
      </c>
      <c r="AP43" s="13">
        <f t="shared" si="7"/>
        <v>0.5</v>
      </c>
      <c r="AQ43" s="62">
        <v>2</v>
      </c>
      <c r="AR43" s="143"/>
      <c r="AS43" s="13">
        <f t="shared" si="8"/>
        <v>2.5</v>
      </c>
      <c r="AT43" s="61"/>
      <c r="AU43" s="143"/>
      <c r="AV43" s="13">
        <f t="shared" si="9"/>
        <v>2.5</v>
      </c>
      <c r="AW43" s="62"/>
      <c r="AX43" s="143"/>
      <c r="AY43" s="13">
        <f t="shared" si="10"/>
        <v>2.5</v>
      </c>
      <c r="AZ43" s="62">
        <v>1</v>
      </c>
      <c r="BA43" s="143">
        <f>0.5+1+1</f>
        <v>2.5</v>
      </c>
      <c r="BB43" s="13">
        <f t="shared" si="11"/>
        <v>1</v>
      </c>
      <c r="BC43" s="62"/>
      <c r="BD43" s="143"/>
      <c r="BE43" s="13">
        <f t="shared" si="12"/>
        <v>1</v>
      </c>
      <c r="BF43" s="62">
        <v>1</v>
      </c>
      <c r="BG43" s="143">
        <v>1</v>
      </c>
      <c r="BH43" s="13">
        <f t="shared" si="13"/>
        <v>1</v>
      </c>
      <c r="BI43" s="62">
        <v>1</v>
      </c>
      <c r="BJ43" s="143">
        <f>0.5+0.5</f>
        <v>1</v>
      </c>
      <c r="BK43" s="13">
        <f t="shared" si="14"/>
        <v>1</v>
      </c>
      <c r="BL43" s="62"/>
      <c r="BM43" s="143"/>
      <c r="BN43" s="13">
        <f t="shared" si="15"/>
        <v>1</v>
      </c>
      <c r="BO43" s="62"/>
      <c r="BP43" s="143"/>
      <c r="BQ43" s="13">
        <f t="shared" si="16"/>
        <v>1</v>
      </c>
      <c r="BR43" s="62">
        <v>4</v>
      </c>
      <c r="BS43" s="143">
        <f>0.5</f>
        <v>0.5</v>
      </c>
      <c r="BT43" s="13">
        <f t="shared" si="17"/>
        <v>4.5</v>
      </c>
      <c r="BU43" s="62"/>
      <c r="BV43" s="143">
        <f>1</f>
        <v>1</v>
      </c>
      <c r="BW43" s="13">
        <f t="shared" si="18"/>
        <v>3.5</v>
      </c>
      <c r="BX43" s="62"/>
      <c r="BY43" s="143">
        <f>1+1</f>
        <v>2</v>
      </c>
      <c r="BZ43" s="13">
        <f t="shared" si="19"/>
        <v>1.5</v>
      </c>
      <c r="CA43" s="62">
        <v>2</v>
      </c>
      <c r="CB43" s="143">
        <f>0.5+0.5+0.5</f>
        <v>1.5</v>
      </c>
      <c r="CC43" s="13">
        <f t="shared" si="20"/>
        <v>2</v>
      </c>
      <c r="CD43" s="62"/>
      <c r="CE43" s="143">
        <f>0.5</f>
        <v>0.5</v>
      </c>
      <c r="CF43" s="13">
        <f t="shared" si="21"/>
        <v>1.5</v>
      </c>
      <c r="CG43" s="62">
        <v>2</v>
      </c>
      <c r="CH43" s="143">
        <f>1</f>
        <v>1</v>
      </c>
      <c r="CI43" s="13">
        <f t="shared" si="31"/>
        <v>2.5</v>
      </c>
      <c r="CJ43" s="62"/>
      <c r="CK43" s="143"/>
      <c r="CL43" s="13">
        <f t="shared" si="32"/>
        <v>2.5</v>
      </c>
      <c r="CM43" s="62">
        <v>3</v>
      </c>
      <c r="CN43" s="143">
        <f>0.5+1+1</f>
        <v>2.5</v>
      </c>
      <c r="CO43" s="13">
        <f t="shared" si="22"/>
        <v>3</v>
      </c>
      <c r="CP43" s="62"/>
      <c r="CQ43" s="143">
        <f>0.5+2</f>
        <v>2.5</v>
      </c>
      <c r="CR43" s="13">
        <f t="shared" si="33"/>
        <v>0.5</v>
      </c>
      <c r="CS43" s="62"/>
      <c r="CT43" s="143"/>
      <c r="CU43" s="14">
        <f t="shared" si="23"/>
        <v>0.5</v>
      </c>
      <c r="CV43" s="5">
        <f t="shared" si="36"/>
        <v>21.5</v>
      </c>
      <c r="CW43" s="4">
        <f t="shared" si="36"/>
        <v>22</v>
      </c>
      <c r="CX43" s="6">
        <f t="shared" si="25"/>
        <v>0.5</v>
      </c>
      <c r="CY43" s="162">
        <v>400</v>
      </c>
      <c r="CZ43" s="171">
        <f t="shared" si="26"/>
        <v>200</v>
      </c>
      <c r="DB43" s="2">
        <f t="shared" si="34"/>
        <v>0.5</v>
      </c>
      <c r="DC43" s="62"/>
      <c r="DD43" s="143"/>
      <c r="DE43" s="149">
        <f t="shared" si="35"/>
        <v>0.5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1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1"/>
      <c r="AL44" s="143"/>
      <c r="AM44" s="13">
        <f t="shared" si="6"/>
        <v>0</v>
      </c>
      <c r="AN44" s="61"/>
      <c r="AO44" s="143"/>
      <c r="AP44" s="13">
        <f t="shared" si="7"/>
        <v>0</v>
      </c>
      <c r="AQ44" s="62"/>
      <c r="AR44" s="143"/>
      <c r="AS44" s="13">
        <f t="shared" si="8"/>
        <v>0</v>
      </c>
      <c r="AT44" s="61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1"/>
      <c r="CE44" s="143"/>
      <c r="CF44" s="13">
        <f t="shared" si="21"/>
        <v>0</v>
      </c>
      <c r="CG44" s="61"/>
      <c r="CH44" s="143"/>
      <c r="CI44" s="13">
        <f t="shared" si="31"/>
        <v>0</v>
      </c>
      <c r="CJ44" s="61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2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/>
      <c r="E45" s="34" t="s">
        <v>21</v>
      </c>
      <c r="F45" s="14">
        <v>0</v>
      </c>
      <c r="G45" s="62"/>
      <c r="H45" s="143"/>
      <c r="I45" s="13">
        <f t="shared" si="0"/>
        <v>0</v>
      </c>
      <c r="J45" s="62"/>
      <c r="K45" s="143"/>
      <c r="L45" s="13">
        <f t="shared" si="1"/>
        <v>0</v>
      </c>
      <c r="M45" s="62"/>
      <c r="N45" s="143"/>
      <c r="O45" s="13">
        <f t="shared" si="2"/>
        <v>0</v>
      </c>
      <c r="P45" s="62"/>
      <c r="Q45" s="143"/>
      <c r="R45" s="30">
        <f t="shared" si="3"/>
        <v>0</v>
      </c>
      <c r="S45" s="62">
        <v>2</v>
      </c>
      <c r="T45" s="143"/>
      <c r="U45" s="13">
        <f t="shared" si="4"/>
        <v>2</v>
      </c>
      <c r="V45" s="62">
        <v>3</v>
      </c>
      <c r="W45" s="143">
        <v>2</v>
      </c>
      <c r="X45" s="13">
        <f t="shared" si="5"/>
        <v>3</v>
      </c>
      <c r="Y45" s="62"/>
      <c r="Z45" s="143"/>
      <c r="AA45" s="13">
        <f t="shared" si="27"/>
        <v>3</v>
      </c>
      <c r="AB45" s="62"/>
      <c r="AC45" s="143">
        <v>3</v>
      </c>
      <c r="AD45" s="13">
        <f t="shared" si="28"/>
        <v>0</v>
      </c>
      <c r="AE45" s="61"/>
      <c r="AF45" s="143"/>
      <c r="AG45" s="13">
        <f t="shared" si="29"/>
        <v>0</v>
      </c>
      <c r="AH45" s="62"/>
      <c r="AI45" s="143"/>
      <c r="AJ45" s="13">
        <f t="shared" si="30"/>
        <v>0</v>
      </c>
      <c r="AK45" s="61"/>
      <c r="AL45" s="143"/>
      <c r="AM45" s="13">
        <f t="shared" si="6"/>
        <v>0</v>
      </c>
      <c r="AN45" s="61"/>
      <c r="AO45" s="143"/>
      <c r="AP45" s="13">
        <f t="shared" si="7"/>
        <v>0</v>
      </c>
      <c r="AQ45" s="62"/>
      <c r="AR45" s="143"/>
      <c r="AS45" s="13">
        <f t="shared" si="8"/>
        <v>0</v>
      </c>
      <c r="AT45" s="61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>
        <v>2</v>
      </c>
      <c r="BS45" s="143"/>
      <c r="BT45" s="13">
        <f t="shared" si="17"/>
        <v>2</v>
      </c>
      <c r="BU45" s="62"/>
      <c r="BV45" s="143"/>
      <c r="BW45" s="13">
        <f t="shared" si="18"/>
        <v>2</v>
      </c>
      <c r="BX45" s="62"/>
      <c r="BY45" s="143">
        <v>2</v>
      </c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>
        <v>4</v>
      </c>
      <c r="CN45" s="143"/>
      <c r="CO45" s="13">
        <f t="shared" si="22"/>
        <v>4</v>
      </c>
      <c r="CP45" s="62"/>
      <c r="CQ45" s="143">
        <f>1+1+1</f>
        <v>3</v>
      </c>
      <c r="CR45" s="13">
        <f t="shared" si="33"/>
        <v>1</v>
      </c>
      <c r="CS45" s="62"/>
      <c r="CT45" s="143"/>
      <c r="CU45" s="14">
        <f t="shared" si="23"/>
        <v>1</v>
      </c>
      <c r="CV45" s="5">
        <f t="shared" si="36"/>
        <v>11</v>
      </c>
      <c r="CW45" s="4">
        <f t="shared" si="36"/>
        <v>10</v>
      </c>
      <c r="CX45" s="6">
        <f t="shared" si="25"/>
        <v>1</v>
      </c>
      <c r="CY45" s="162">
        <v>240</v>
      </c>
      <c r="CZ45" s="171">
        <f t="shared" si="26"/>
        <v>240</v>
      </c>
      <c r="DB45" s="2">
        <f t="shared" si="34"/>
        <v>1</v>
      </c>
      <c r="DC45" s="62"/>
      <c r="DD45" s="143"/>
      <c r="DE45" s="149">
        <f t="shared" si="35"/>
        <v>1</v>
      </c>
    </row>
    <row r="46" spans="1:109" ht="15.75" customHeight="1">
      <c r="A46" s="33"/>
      <c r="B46" s="3" t="s">
        <v>95</v>
      </c>
      <c r="C46" s="104" t="s">
        <v>21</v>
      </c>
      <c r="D46" s="34"/>
      <c r="E46" s="34" t="s">
        <v>21</v>
      </c>
      <c r="F46" s="14">
        <v>1</v>
      </c>
      <c r="G46" s="176"/>
      <c r="H46" s="143"/>
      <c r="I46" s="13">
        <f t="shared" si="0"/>
        <v>1</v>
      </c>
      <c r="J46" s="176"/>
      <c r="K46" s="143"/>
      <c r="L46" s="13">
        <f t="shared" si="1"/>
        <v>1</v>
      </c>
      <c r="M46" s="176"/>
      <c r="N46" s="143"/>
      <c r="O46" s="13">
        <f t="shared" si="2"/>
        <v>1</v>
      </c>
      <c r="P46" s="176"/>
      <c r="Q46" s="143"/>
      <c r="R46" s="30">
        <f t="shared" si="3"/>
        <v>1</v>
      </c>
      <c r="S46" s="176"/>
      <c r="T46" s="143"/>
      <c r="U46" s="13">
        <f t="shared" si="4"/>
        <v>1</v>
      </c>
      <c r="V46" s="176"/>
      <c r="W46" s="143"/>
      <c r="X46" s="13">
        <f t="shared" si="5"/>
        <v>1</v>
      </c>
      <c r="Y46" s="176"/>
      <c r="Z46" s="143"/>
      <c r="AA46" s="13">
        <f t="shared" si="27"/>
        <v>1</v>
      </c>
      <c r="AB46" s="176"/>
      <c r="AC46" s="143"/>
      <c r="AD46" s="13">
        <f t="shared" si="28"/>
        <v>1</v>
      </c>
      <c r="AE46" s="63"/>
      <c r="AF46" s="143"/>
      <c r="AG46" s="13">
        <f t="shared" si="29"/>
        <v>1</v>
      </c>
      <c r="AH46" s="176"/>
      <c r="AI46" s="143"/>
      <c r="AJ46" s="13">
        <f t="shared" si="30"/>
        <v>1</v>
      </c>
      <c r="AK46" s="63"/>
      <c r="AL46" s="143"/>
      <c r="AM46" s="13">
        <f t="shared" si="6"/>
        <v>1</v>
      </c>
      <c r="AN46" s="63"/>
      <c r="AO46" s="143"/>
      <c r="AP46" s="13">
        <f t="shared" si="7"/>
        <v>1</v>
      </c>
      <c r="AQ46" s="176"/>
      <c r="AR46" s="143"/>
      <c r="AS46" s="13">
        <f t="shared" si="8"/>
        <v>1</v>
      </c>
      <c r="AT46" s="63"/>
      <c r="AU46" s="143"/>
      <c r="AV46" s="13">
        <f t="shared" si="9"/>
        <v>1</v>
      </c>
      <c r="AW46" s="176"/>
      <c r="AX46" s="143"/>
      <c r="AY46" s="13">
        <f t="shared" si="10"/>
        <v>1</v>
      </c>
      <c r="AZ46" s="176"/>
      <c r="BA46" s="143">
        <v>1</v>
      </c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63"/>
      <c r="CE46" s="143"/>
      <c r="CF46" s="13">
        <f t="shared" si="21"/>
        <v>0</v>
      </c>
      <c r="CG46" s="63"/>
      <c r="CH46" s="143"/>
      <c r="CI46" s="13">
        <f t="shared" si="31"/>
        <v>0</v>
      </c>
      <c r="CJ46" s="63"/>
      <c r="CK46" s="143"/>
      <c r="CL46" s="13">
        <f t="shared" si="32"/>
        <v>0</v>
      </c>
      <c r="CM46" s="176">
        <v>4</v>
      </c>
      <c r="CN46" s="143"/>
      <c r="CO46" s="13">
        <f t="shared" si="22"/>
        <v>4</v>
      </c>
      <c r="CP46" s="176">
        <v>3</v>
      </c>
      <c r="CQ46" s="143">
        <f>1+1+1</f>
        <v>3</v>
      </c>
      <c r="CR46" s="13">
        <f t="shared" si="33"/>
        <v>4</v>
      </c>
      <c r="CS46" s="176"/>
      <c r="CT46" s="143"/>
      <c r="CU46" s="14">
        <f t="shared" si="23"/>
        <v>4</v>
      </c>
      <c r="CV46" s="5">
        <f t="shared" si="36"/>
        <v>7</v>
      </c>
      <c r="CW46" s="4">
        <f t="shared" si="36"/>
        <v>4</v>
      </c>
      <c r="CX46" s="6">
        <f t="shared" si="25"/>
        <v>4</v>
      </c>
      <c r="CY46" s="162">
        <v>240</v>
      </c>
      <c r="CZ46" s="171">
        <f t="shared" si="26"/>
        <v>960</v>
      </c>
      <c r="DB46" s="2">
        <f t="shared" si="34"/>
        <v>4</v>
      </c>
      <c r="DC46" s="176"/>
      <c r="DD46" s="143"/>
      <c r="DE46" s="149">
        <f t="shared" si="35"/>
        <v>4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5</v>
      </c>
      <c r="G47" s="176"/>
      <c r="H47" s="143">
        <f>5</f>
        <v>5</v>
      </c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/>
      <c r="Z47" s="143"/>
      <c r="AA47" s="13">
        <f t="shared" si="27"/>
        <v>0</v>
      </c>
      <c r="AB47" s="176">
        <v>12</v>
      </c>
      <c r="AC47" s="143"/>
      <c r="AD47" s="13">
        <f t="shared" si="28"/>
        <v>12</v>
      </c>
      <c r="AE47" s="63"/>
      <c r="AF47" s="143">
        <f>3+2+2+5</f>
        <v>12</v>
      </c>
      <c r="AG47" s="13">
        <f t="shared" si="29"/>
        <v>0</v>
      </c>
      <c r="AH47" s="176"/>
      <c r="AI47" s="143"/>
      <c r="AJ47" s="13">
        <f t="shared" si="30"/>
        <v>0</v>
      </c>
      <c r="AK47" s="63">
        <v>4</v>
      </c>
      <c r="AL47" s="143"/>
      <c r="AM47" s="13">
        <f t="shared" si="6"/>
        <v>4</v>
      </c>
      <c r="AN47" s="63"/>
      <c r="AO47" s="143">
        <f>4</f>
        <v>4</v>
      </c>
      <c r="AP47" s="13">
        <f t="shared" si="7"/>
        <v>0</v>
      </c>
      <c r="AQ47" s="176"/>
      <c r="AR47" s="143"/>
      <c r="AS47" s="13">
        <f t="shared" si="8"/>
        <v>0</v>
      </c>
      <c r="AT47" s="63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>
        <v>5</v>
      </c>
      <c r="BJ47" s="143"/>
      <c r="BK47" s="13">
        <f t="shared" si="14"/>
        <v>5</v>
      </c>
      <c r="BL47" s="176"/>
      <c r="BM47" s="143">
        <v>2</v>
      </c>
      <c r="BN47" s="13">
        <f t="shared" si="15"/>
        <v>3</v>
      </c>
      <c r="BO47" s="176"/>
      <c r="BP47" s="143"/>
      <c r="BQ47" s="13">
        <f t="shared" si="16"/>
        <v>3</v>
      </c>
      <c r="BR47" s="176"/>
      <c r="BS47" s="143">
        <f>3</f>
        <v>3</v>
      </c>
      <c r="BT47" s="13">
        <f t="shared" si="17"/>
        <v>0</v>
      </c>
      <c r="BU47" s="176"/>
      <c r="BV47" s="143"/>
      <c r="BW47" s="13">
        <f t="shared" si="18"/>
        <v>0</v>
      </c>
      <c r="BX47" s="176"/>
      <c r="BY47" s="143"/>
      <c r="BZ47" s="13">
        <f t="shared" si="19"/>
        <v>0</v>
      </c>
      <c r="CA47" s="176"/>
      <c r="CB47" s="143"/>
      <c r="CC47" s="13">
        <f t="shared" si="20"/>
        <v>0</v>
      </c>
      <c r="CD47" s="63">
        <v>7</v>
      </c>
      <c r="CE47" s="143"/>
      <c r="CF47" s="13">
        <f t="shared" si="21"/>
        <v>7</v>
      </c>
      <c r="CG47" s="63"/>
      <c r="CH47" s="143"/>
      <c r="CI47" s="13">
        <f t="shared" si="31"/>
        <v>7</v>
      </c>
      <c r="CJ47" s="63"/>
      <c r="CK47" s="143"/>
      <c r="CL47" s="13">
        <f t="shared" si="32"/>
        <v>7</v>
      </c>
      <c r="CM47" s="176"/>
      <c r="CN47" s="143">
        <f>5+2</f>
        <v>7</v>
      </c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28</v>
      </c>
      <c r="CW47" s="4">
        <f t="shared" si="36"/>
        <v>33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176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6.2300000000000058</v>
      </c>
      <c r="G48" s="62"/>
      <c r="H48" s="143">
        <f>0.6</f>
        <v>0.6</v>
      </c>
      <c r="I48" s="13">
        <f t="shared" si="0"/>
        <v>5.6300000000000061</v>
      </c>
      <c r="J48" s="62"/>
      <c r="K48" s="143">
        <f>0.8+1.6+1</f>
        <v>3.4000000000000004</v>
      </c>
      <c r="L48" s="13">
        <f t="shared" si="1"/>
        <v>2.2300000000000058</v>
      </c>
      <c r="M48" s="62"/>
      <c r="N48" s="143">
        <f>1</f>
        <v>1</v>
      </c>
      <c r="O48" s="13">
        <f t="shared" si="2"/>
        <v>1.2300000000000058</v>
      </c>
      <c r="P48" s="62">
        <v>4</v>
      </c>
      <c r="Q48" s="143">
        <f>1.2+1</f>
        <v>2.2000000000000002</v>
      </c>
      <c r="R48" s="30">
        <f t="shared" si="3"/>
        <v>3.0300000000000056</v>
      </c>
      <c r="S48" s="62"/>
      <c r="T48" s="143">
        <f>0.2+0.2+1.8</f>
        <v>2.2000000000000002</v>
      </c>
      <c r="U48" s="13">
        <f t="shared" si="4"/>
        <v>0.8300000000000054</v>
      </c>
      <c r="V48" s="62">
        <v>4</v>
      </c>
      <c r="W48" s="143">
        <f>0.9</f>
        <v>0.9</v>
      </c>
      <c r="X48" s="13">
        <f t="shared" si="5"/>
        <v>3.9300000000000055</v>
      </c>
      <c r="Y48" s="62"/>
      <c r="Z48" s="143"/>
      <c r="AA48" s="13">
        <f t="shared" si="27"/>
        <v>3.9300000000000055</v>
      </c>
      <c r="AB48" s="62">
        <v>4</v>
      </c>
      <c r="AC48" s="143"/>
      <c r="AD48" s="13">
        <f t="shared" si="28"/>
        <v>7.930000000000005</v>
      </c>
      <c r="AE48" s="61"/>
      <c r="AF48" s="143">
        <f>0.5+0.8+0.7+0.8+0.7+0.9</f>
        <v>4.4000000000000004</v>
      </c>
      <c r="AG48" s="13">
        <f t="shared" si="29"/>
        <v>3.5300000000000047</v>
      </c>
      <c r="AH48" s="62"/>
      <c r="AI48" s="143"/>
      <c r="AJ48" s="13">
        <f t="shared" si="30"/>
        <v>3.5300000000000047</v>
      </c>
      <c r="AK48" s="61"/>
      <c r="AL48" s="143">
        <f>0.93</f>
        <v>0.93</v>
      </c>
      <c r="AM48" s="13">
        <f t="shared" si="6"/>
        <v>2.6000000000000045</v>
      </c>
      <c r="AN48" s="61">
        <v>4</v>
      </c>
      <c r="AO48" s="143">
        <f>0.5+0.1+0.1</f>
        <v>0.7</v>
      </c>
      <c r="AP48" s="13">
        <f t="shared" si="7"/>
        <v>5.9000000000000048</v>
      </c>
      <c r="AQ48" s="62"/>
      <c r="AR48" s="143">
        <f>0.6+1</f>
        <v>1.6</v>
      </c>
      <c r="AS48" s="13">
        <f t="shared" si="8"/>
        <v>4.3000000000000043</v>
      </c>
      <c r="AT48" s="61"/>
      <c r="AU48" s="143"/>
      <c r="AV48" s="13">
        <f t="shared" si="9"/>
        <v>4.3000000000000043</v>
      </c>
      <c r="AW48" s="62"/>
      <c r="AX48" s="143"/>
      <c r="AY48" s="13">
        <f t="shared" si="10"/>
        <v>4.3000000000000043</v>
      </c>
      <c r="AZ48" s="62">
        <v>4</v>
      </c>
      <c r="BA48" s="143">
        <f>0.4+0.4+0.4+1</f>
        <v>2.2000000000000002</v>
      </c>
      <c r="BB48" s="13">
        <f t="shared" si="11"/>
        <v>6.1000000000000041</v>
      </c>
      <c r="BC48" s="62"/>
      <c r="BD48" s="143">
        <f>0.6</f>
        <v>0.6</v>
      </c>
      <c r="BE48" s="13">
        <f t="shared" si="12"/>
        <v>5.5000000000000044</v>
      </c>
      <c r="BF48" s="62"/>
      <c r="BG48" s="143">
        <f>1+0.9</f>
        <v>1.9</v>
      </c>
      <c r="BH48" s="13">
        <f t="shared" si="13"/>
        <v>3.6000000000000045</v>
      </c>
      <c r="BI48" s="62"/>
      <c r="BJ48" s="143">
        <f>0.1+0.3+0.1</f>
        <v>0.5</v>
      </c>
      <c r="BK48" s="13">
        <f t="shared" si="14"/>
        <v>3.1000000000000045</v>
      </c>
      <c r="BL48" s="62">
        <v>4</v>
      </c>
      <c r="BM48" s="143">
        <v>1.6</v>
      </c>
      <c r="BN48" s="13">
        <f t="shared" si="15"/>
        <v>5.5000000000000053</v>
      </c>
      <c r="BO48" s="62"/>
      <c r="BP48" s="143"/>
      <c r="BQ48" s="13">
        <f t="shared" si="16"/>
        <v>5.5000000000000053</v>
      </c>
      <c r="BR48" s="62">
        <v>4</v>
      </c>
      <c r="BS48" s="143"/>
      <c r="BT48" s="13">
        <f t="shared" si="17"/>
        <v>9.5000000000000053</v>
      </c>
      <c r="BU48" s="62"/>
      <c r="BV48" s="143">
        <f>1+0.8</f>
        <v>1.8</v>
      </c>
      <c r="BW48" s="13">
        <f t="shared" si="18"/>
        <v>7.7000000000000055</v>
      </c>
      <c r="BX48" s="62"/>
      <c r="BY48" s="143">
        <f>0.8</f>
        <v>0.8</v>
      </c>
      <c r="BZ48" s="13">
        <f t="shared" si="19"/>
        <v>6.9000000000000057</v>
      </c>
      <c r="CA48" s="62"/>
      <c r="CB48" s="143">
        <f>1.2</f>
        <v>1.2</v>
      </c>
      <c r="CC48" s="13">
        <f t="shared" si="20"/>
        <v>5.7000000000000055</v>
      </c>
      <c r="CD48" s="61"/>
      <c r="CE48" s="143">
        <f>0.1+0.15+0.3</f>
        <v>0.55000000000000004</v>
      </c>
      <c r="CF48" s="13">
        <f t="shared" si="21"/>
        <v>5.1500000000000057</v>
      </c>
      <c r="CG48" s="61"/>
      <c r="CH48" s="143">
        <f>1.4</f>
        <v>1.4</v>
      </c>
      <c r="CI48" s="13">
        <f t="shared" si="31"/>
        <v>3.7500000000000058</v>
      </c>
      <c r="CJ48" s="61"/>
      <c r="CK48" s="143"/>
      <c r="CL48" s="13">
        <f t="shared" si="32"/>
        <v>3.7500000000000058</v>
      </c>
      <c r="CM48" s="62">
        <v>4</v>
      </c>
      <c r="CN48" s="143">
        <f>0.6</f>
        <v>0.6</v>
      </c>
      <c r="CO48" s="13">
        <f t="shared" si="22"/>
        <v>7.1500000000000057</v>
      </c>
      <c r="CP48" s="62">
        <v>4</v>
      </c>
      <c r="CQ48" s="143">
        <f>1+1+0.5+1.7+0.9</f>
        <v>5.1000000000000005</v>
      </c>
      <c r="CR48" s="13">
        <f t="shared" si="33"/>
        <v>6.0500000000000052</v>
      </c>
      <c r="CS48" s="62"/>
      <c r="CT48" s="143"/>
      <c r="CU48" s="14">
        <f t="shared" si="23"/>
        <v>6.0500000000000052</v>
      </c>
      <c r="CV48" s="5">
        <f t="shared" si="36"/>
        <v>36</v>
      </c>
      <c r="CW48" s="4">
        <f t="shared" si="36"/>
        <v>36.180000000000007</v>
      </c>
      <c r="CX48" s="6">
        <f t="shared" si="25"/>
        <v>6.0500000000000052</v>
      </c>
      <c r="CY48" s="162">
        <v>700</v>
      </c>
      <c r="CZ48" s="171">
        <f t="shared" si="26"/>
        <v>4235.0000000000036</v>
      </c>
      <c r="DB48" s="2">
        <f t="shared" si="34"/>
        <v>6.0500000000000052</v>
      </c>
      <c r="DC48" s="62"/>
      <c r="DD48" s="143"/>
      <c r="DE48" s="149">
        <f t="shared" si="35"/>
        <v>6.0500000000000052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10</v>
      </c>
      <c r="G49" s="62">
        <v>10</v>
      </c>
      <c r="H49" s="143">
        <v>3</v>
      </c>
      <c r="I49" s="13">
        <f t="shared" si="0"/>
        <v>17</v>
      </c>
      <c r="J49" s="62"/>
      <c r="K49" s="143">
        <v>5</v>
      </c>
      <c r="L49" s="13">
        <f t="shared" si="1"/>
        <v>12</v>
      </c>
      <c r="M49" s="62"/>
      <c r="N49" s="143"/>
      <c r="O49" s="13">
        <f t="shared" si="2"/>
        <v>12</v>
      </c>
      <c r="P49" s="62">
        <v>10</v>
      </c>
      <c r="Q49" s="143">
        <v>1</v>
      </c>
      <c r="R49" s="30">
        <f t="shared" si="3"/>
        <v>21</v>
      </c>
      <c r="S49" s="62"/>
      <c r="T49" s="143">
        <v>3</v>
      </c>
      <c r="U49" s="13">
        <f t="shared" si="4"/>
        <v>18</v>
      </c>
      <c r="V49" s="62"/>
      <c r="W49" s="143">
        <v>5</v>
      </c>
      <c r="X49" s="13">
        <f t="shared" si="5"/>
        <v>13</v>
      </c>
      <c r="Y49" s="62"/>
      <c r="Z49" s="143"/>
      <c r="AA49" s="13">
        <f t="shared" si="27"/>
        <v>13</v>
      </c>
      <c r="AB49" s="62"/>
      <c r="AC49" s="143">
        <v>2</v>
      </c>
      <c r="AD49" s="13">
        <f t="shared" si="28"/>
        <v>11</v>
      </c>
      <c r="AE49" s="61">
        <v>10</v>
      </c>
      <c r="AF49" s="143">
        <v>3</v>
      </c>
      <c r="AG49" s="13">
        <f t="shared" si="29"/>
        <v>18</v>
      </c>
      <c r="AH49" s="62"/>
      <c r="AI49" s="143"/>
      <c r="AJ49" s="13">
        <f t="shared" si="30"/>
        <v>18</v>
      </c>
      <c r="AK49" s="61"/>
      <c r="AL49" s="143">
        <v>2</v>
      </c>
      <c r="AM49" s="13">
        <f t="shared" si="6"/>
        <v>16</v>
      </c>
      <c r="AN49" s="61"/>
      <c r="AO49" s="143">
        <v>1</v>
      </c>
      <c r="AP49" s="13">
        <f t="shared" si="7"/>
        <v>15</v>
      </c>
      <c r="AQ49" s="62">
        <v>10</v>
      </c>
      <c r="AR49" s="143">
        <v>4</v>
      </c>
      <c r="AS49" s="13">
        <f t="shared" si="8"/>
        <v>21</v>
      </c>
      <c r="AT49" s="61"/>
      <c r="AU49" s="143"/>
      <c r="AV49" s="13">
        <f t="shared" si="9"/>
        <v>21</v>
      </c>
      <c r="AW49" s="62"/>
      <c r="AX49" s="143">
        <v>3</v>
      </c>
      <c r="AY49" s="13">
        <f t="shared" si="10"/>
        <v>18</v>
      </c>
      <c r="AZ49" s="62"/>
      <c r="BA49" s="143">
        <v>6</v>
      </c>
      <c r="BB49" s="13">
        <f t="shared" si="11"/>
        <v>12</v>
      </c>
      <c r="BC49" s="62"/>
      <c r="BD49" s="143"/>
      <c r="BE49" s="13">
        <f t="shared" si="12"/>
        <v>12</v>
      </c>
      <c r="BF49" s="62">
        <v>10</v>
      </c>
      <c r="BG49" s="143">
        <v>3</v>
      </c>
      <c r="BH49" s="13">
        <f t="shared" si="13"/>
        <v>19</v>
      </c>
      <c r="BI49" s="62"/>
      <c r="BJ49" s="143">
        <v>1</v>
      </c>
      <c r="BK49" s="13">
        <f t="shared" si="14"/>
        <v>18</v>
      </c>
      <c r="BL49" s="62"/>
      <c r="BM49" s="143">
        <v>2</v>
      </c>
      <c r="BN49" s="13">
        <f t="shared" si="15"/>
        <v>16</v>
      </c>
      <c r="BO49" s="62"/>
      <c r="BP49" s="143"/>
      <c r="BQ49" s="13">
        <f t="shared" si="16"/>
        <v>16</v>
      </c>
      <c r="BR49" s="62"/>
      <c r="BS49" s="143">
        <v>4</v>
      </c>
      <c r="BT49" s="13">
        <f t="shared" si="17"/>
        <v>12</v>
      </c>
      <c r="BU49" s="62"/>
      <c r="BV49" s="143">
        <v>4</v>
      </c>
      <c r="BW49" s="13">
        <f t="shared" si="18"/>
        <v>8</v>
      </c>
      <c r="BX49" s="62"/>
      <c r="BY49" s="143"/>
      <c r="BZ49" s="13">
        <f t="shared" si="19"/>
        <v>8</v>
      </c>
      <c r="CA49" s="62">
        <v>10</v>
      </c>
      <c r="CB49" s="143">
        <v>5</v>
      </c>
      <c r="CC49" s="13">
        <f t="shared" si="20"/>
        <v>13</v>
      </c>
      <c r="CD49" s="61"/>
      <c r="CE49" s="143">
        <v>1</v>
      </c>
      <c r="CF49" s="13">
        <f t="shared" si="21"/>
        <v>12</v>
      </c>
      <c r="CG49" s="61"/>
      <c r="CH49" s="143">
        <v>1</v>
      </c>
      <c r="CI49" s="13">
        <f t="shared" si="31"/>
        <v>11</v>
      </c>
      <c r="CJ49" s="61"/>
      <c r="CK49" s="143"/>
      <c r="CL49" s="13">
        <f t="shared" si="32"/>
        <v>11</v>
      </c>
      <c r="CM49" s="62"/>
      <c r="CN49" s="143">
        <v>5</v>
      </c>
      <c r="CO49" s="13">
        <f t="shared" si="22"/>
        <v>6</v>
      </c>
      <c r="CP49" s="62"/>
      <c r="CQ49" s="143">
        <v>1</v>
      </c>
      <c r="CR49" s="13">
        <f t="shared" si="33"/>
        <v>5</v>
      </c>
      <c r="CS49" s="62"/>
      <c r="CT49" s="143"/>
      <c r="CU49" s="14">
        <f t="shared" si="23"/>
        <v>5</v>
      </c>
      <c r="CV49" s="5">
        <f t="shared" si="36"/>
        <v>60</v>
      </c>
      <c r="CW49" s="4">
        <f t="shared" si="36"/>
        <v>65</v>
      </c>
      <c r="CX49" s="6">
        <f t="shared" si="25"/>
        <v>5</v>
      </c>
      <c r="CY49" s="162">
        <v>880</v>
      </c>
      <c r="CZ49" s="171">
        <f t="shared" si="26"/>
        <v>4400</v>
      </c>
      <c r="DB49" s="2">
        <f t="shared" si="34"/>
        <v>5</v>
      </c>
      <c r="DC49" s="62"/>
      <c r="DD49" s="143"/>
      <c r="DE49" s="149">
        <f t="shared" si="35"/>
        <v>5</v>
      </c>
    </row>
    <row r="50" spans="1:109" ht="15.75" customHeight="1">
      <c r="A50" s="33"/>
      <c r="B50" s="3" t="s">
        <v>264</v>
      </c>
      <c r="C50" s="104" t="s">
        <v>27</v>
      </c>
      <c r="D50" s="34"/>
      <c r="E50" s="34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1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1"/>
      <c r="AL50" s="143"/>
      <c r="AM50" s="13">
        <f t="shared" si="6"/>
        <v>0</v>
      </c>
      <c r="AN50" s="61"/>
      <c r="AO50" s="143"/>
      <c r="AP50" s="13">
        <f t="shared" si="7"/>
        <v>0</v>
      </c>
      <c r="AQ50" s="62"/>
      <c r="AR50" s="143"/>
      <c r="AS50" s="13">
        <f t="shared" si="8"/>
        <v>0</v>
      </c>
      <c r="AT50" s="61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1"/>
      <c r="CE50" s="143"/>
      <c r="CF50" s="13">
        <f t="shared" si="21"/>
        <v>0</v>
      </c>
      <c r="CG50" s="61"/>
      <c r="CH50" s="143"/>
      <c r="CI50" s="13">
        <f t="shared" si="31"/>
        <v>0</v>
      </c>
      <c r="CJ50" s="61"/>
      <c r="CK50" s="143"/>
      <c r="CL50" s="13">
        <f t="shared" si="32"/>
        <v>0</v>
      </c>
      <c r="CM50" s="62">
        <v>48</v>
      </c>
      <c r="CN50" s="143"/>
      <c r="CO50" s="13">
        <f t="shared" si="22"/>
        <v>48</v>
      </c>
      <c r="CP50" s="62">
        <f>-2+24</f>
        <v>22</v>
      </c>
      <c r="CQ50" s="143">
        <f>48</f>
        <v>48</v>
      </c>
      <c r="CR50" s="13">
        <f t="shared" si="33"/>
        <v>22</v>
      </c>
      <c r="CS50" s="62"/>
      <c r="CT50" s="143"/>
      <c r="CU50" s="14">
        <f t="shared" si="23"/>
        <v>22</v>
      </c>
      <c r="CV50" s="5">
        <f t="shared" si="36"/>
        <v>70</v>
      </c>
      <c r="CW50" s="4">
        <f t="shared" si="36"/>
        <v>48</v>
      </c>
      <c r="CX50" s="6">
        <f t="shared" si="25"/>
        <v>22</v>
      </c>
      <c r="CY50" s="162">
        <v>180</v>
      </c>
      <c r="CZ50" s="171">
        <f t="shared" si="26"/>
        <v>3960</v>
      </c>
      <c r="DB50" s="2">
        <f t="shared" si="34"/>
        <v>22</v>
      </c>
      <c r="DC50" s="62"/>
      <c r="DD50" s="143"/>
      <c r="DE50" s="149">
        <f t="shared" si="35"/>
        <v>22</v>
      </c>
    </row>
    <row r="51" spans="1:109" ht="15.75" customHeight="1">
      <c r="A51" s="33"/>
      <c r="B51" s="3" t="s">
        <v>101</v>
      </c>
      <c r="C51" s="104" t="s">
        <v>27</v>
      </c>
      <c r="D51" s="34"/>
      <c r="E51" s="34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1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1"/>
      <c r="AL51" s="143"/>
      <c r="AM51" s="13">
        <f t="shared" si="6"/>
        <v>0</v>
      </c>
      <c r="AN51" s="61"/>
      <c r="AO51" s="143"/>
      <c r="AP51" s="13">
        <f t="shared" si="7"/>
        <v>0</v>
      </c>
      <c r="AQ51" s="62"/>
      <c r="AR51" s="143"/>
      <c r="AS51" s="13">
        <f t="shared" si="8"/>
        <v>0</v>
      </c>
      <c r="AT51" s="61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1"/>
      <c r="CE51" s="143"/>
      <c r="CF51" s="13">
        <f t="shared" si="21"/>
        <v>0</v>
      </c>
      <c r="CG51" s="61"/>
      <c r="CH51" s="143"/>
      <c r="CI51" s="13">
        <f t="shared" si="31"/>
        <v>0</v>
      </c>
      <c r="CJ51" s="61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2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1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1"/>
      <c r="AL52" s="143"/>
      <c r="AM52" s="13">
        <f t="shared" si="6"/>
        <v>0</v>
      </c>
      <c r="AN52" s="61"/>
      <c r="AO52" s="143"/>
      <c r="AP52" s="13">
        <f t="shared" si="7"/>
        <v>0</v>
      </c>
      <c r="AQ52" s="62"/>
      <c r="AR52" s="143"/>
      <c r="AS52" s="13">
        <f t="shared" si="8"/>
        <v>0</v>
      </c>
      <c r="AT52" s="61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1"/>
      <c r="CE52" s="143"/>
      <c r="CF52" s="13">
        <f t="shared" si="21"/>
        <v>0</v>
      </c>
      <c r="CG52" s="61"/>
      <c r="CH52" s="143"/>
      <c r="CI52" s="13">
        <f t="shared" si="31"/>
        <v>0</v>
      </c>
      <c r="CJ52" s="61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2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10</v>
      </c>
      <c r="G53" s="62">
        <f>-2+27</f>
        <v>25</v>
      </c>
      <c r="H53" s="143">
        <v>10</v>
      </c>
      <c r="I53" s="13">
        <f t="shared" si="0"/>
        <v>25</v>
      </c>
      <c r="J53" s="62">
        <v>4</v>
      </c>
      <c r="K53" s="143">
        <v>9</v>
      </c>
      <c r="L53" s="13">
        <f t="shared" si="1"/>
        <v>20</v>
      </c>
      <c r="M53" s="62"/>
      <c r="N53" s="143"/>
      <c r="O53" s="13">
        <f t="shared" si="2"/>
        <v>20</v>
      </c>
      <c r="P53" s="62">
        <v>12</v>
      </c>
      <c r="Q53" s="143">
        <v>12</v>
      </c>
      <c r="R53" s="13">
        <f t="shared" si="3"/>
        <v>20</v>
      </c>
      <c r="S53" s="62">
        <f>14</f>
        <v>14</v>
      </c>
      <c r="T53" s="143">
        <f>9</f>
        <v>9</v>
      </c>
      <c r="U53" s="13">
        <f t="shared" si="4"/>
        <v>25</v>
      </c>
      <c r="V53" s="62">
        <v>11</v>
      </c>
      <c r="W53" s="143">
        <f>16</f>
        <v>16</v>
      </c>
      <c r="X53" s="13">
        <f t="shared" si="5"/>
        <v>20</v>
      </c>
      <c r="Y53" s="62"/>
      <c r="Z53" s="143"/>
      <c r="AA53" s="13">
        <f t="shared" si="27"/>
        <v>20</v>
      </c>
      <c r="AB53" s="62">
        <v>16</v>
      </c>
      <c r="AC53" s="143">
        <v>11</v>
      </c>
      <c r="AD53" s="13">
        <f t="shared" si="28"/>
        <v>25</v>
      </c>
      <c r="AE53" s="61">
        <v>6</v>
      </c>
      <c r="AF53" s="143">
        <v>11</v>
      </c>
      <c r="AG53" s="13">
        <f t="shared" si="29"/>
        <v>20</v>
      </c>
      <c r="AH53" s="62"/>
      <c r="AI53" s="143"/>
      <c r="AJ53" s="13">
        <f t="shared" si="30"/>
        <v>20</v>
      </c>
      <c r="AK53" s="61">
        <f>16+1</f>
        <v>17</v>
      </c>
      <c r="AL53" s="143">
        <v>16</v>
      </c>
      <c r="AM53" s="13">
        <f t="shared" si="6"/>
        <v>21</v>
      </c>
      <c r="AN53" s="61">
        <v>12</v>
      </c>
      <c r="AO53" s="143">
        <v>8</v>
      </c>
      <c r="AP53" s="13">
        <f t="shared" si="7"/>
        <v>25</v>
      </c>
      <c r="AQ53" s="62">
        <v>36</v>
      </c>
      <c r="AR53" s="190">
        <f>21+2</f>
        <v>23</v>
      </c>
      <c r="AS53" s="13">
        <f t="shared" si="8"/>
        <v>38</v>
      </c>
      <c r="AT53" s="61"/>
      <c r="AU53" s="143"/>
      <c r="AV53" s="13">
        <f t="shared" si="9"/>
        <v>38</v>
      </c>
      <c r="AW53" s="62"/>
      <c r="AX53" s="143">
        <v>14</v>
      </c>
      <c r="AY53" s="13">
        <f t="shared" si="10"/>
        <v>24</v>
      </c>
      <c r="AZ53" s="62">
        <v>15</v>
      </c>
      <c r="BA53" s="143">
        <f>19</f>
        <v>19</v>
      </c>
      <c r="BB53" s="13">
        <f t="shared" si="11"/>
        <v>20</v>
      </c>
      <c r="BC53" s="62"/>
      <c r="BD53" s="143"/>
      <c r="BE53" s="13">
        <f t="shared" si="12"/>
        <v>20</v>
      </c>
      <c r="BF53" s="62">
        <v>13</v>
      </c>
      <c r="BG53" s="143">
        <v>15</v>
      </c>
      <c r="BH53" s="13">
        <f t="shared" si="13"/>
        <v>18</v>
      </c>
      <c r="BI53" s="62">
        <v>13</v>
      </c>
      <c r="BJ53" s="143">
        <f>6</f>
        <v>6</v>
      </c>
      <c r="BK53" s="13">
        <f t="shared" si="14"/>
        <v>25</v>
      </c>
      <c r="BL53" s="62">
        <v>16</v>
      </c>
      <c r="BM53" s="143">
        <v>16</v>
      </c>
      <c r="BN53" s="13">
        <f t="shared" si="15"/>
        <v>25</v>
      </c>
      <c r="BO53" s="62"/>
      <c r="BP53" s="143"/>
      <c r="BQ53" s="13">
        <f t="shared" si="16"/>
        <v>25</v>
      </c>
      <c r="BR53" s="62">
        <f>17</f>
        <v>17</v>
      </c>
      <c r="BS53" s="143">
        <f>8</f>
        <v>8</v>
      </c>
      <c r="BT53" s="13">
        <f t="shared" si="17"/>
        <v>34</v>
      </c>
      <c r="BU53" s="62"/>
      <c r="BV53" s="143">
        <f>19</f>
        <v>19</v>
      </c>
      <c r="BW53" s="13">
        <f t="shared" si="18"/>
        <v>15</v>
      </c>
      <c r="BX53" s="62">
        <v>22</v>
      </c>
      <c r="BY53" s="143"/>
      <c r="BZ53" s="13">
        <f t="shared" si="19"/>
        <v>37</v>
      </c>
      <c r="CA53" s="62"/>
      <c r="CB53" s="143">
        <f>4+11+2</f>
        <v>17</v>
      </c>
      <c r="CC53" s="13">
        <f t="shared" si="20"/>
        <v>20</v>
      </c>
      <c r="CD53" s="61">
        <v>12</v>
      </c>
      <c r="CE53" s="143">
        <f>7</f>
        <v>7</v>
      </c>
      <c r="CF53" s="13">
        <f t="shared" si="21"/>
        <v>25</v>
      </c>
      <c r="CG53" s="61">
        <v>15</v>
      </c>
      <c r="CH53" s="143">
        <f>20</f>
        <v>20</v>
      </c>
      <c r="CI53" s="13">
        <f>CF53+CG53-CH53</f>
        <v>20</v>
      </c>
      <c r="CJ53" s="61"/>
      <c r="CK53" s="143"/>
      <c r="CL53" s="13">
        <f>CI53+CJ53-CK53</f>
        <v>20</v>
      </c>
      <c r="CM53" s="62">
        <v>21</v>
      </c>
      <c r="CN53" s="143">
        <v>16</v>
      </c>
      <c r="CO53" s="13">
        <f t="shared" si="22"/>
        <v>25</v>
      </c>
      <c r="CP53" s="62"/>
      <c r="CQ53" s="143">
        <v>15</v>
      </c>
      <c r="CR53" s="13">
        <f t="shared" si="33"/>
        <v>10</v>
      </c>
      <c r="CS53" s="62"/>
      <c r="CT53" s="143"/>
      <c r="CU53" s="14">
        <f t="shared" si="23"/>
        <v>10</v>
      </c>
      <c r="CV53" s="5">
        <f t="shared" si="36"/>
        <v>297</v>
      </c>
      <c r="CW53" s="4">
        <f t="shared" si="36"/>
        <v>297</v>
      </c>
      <c r="CX53" s="6">
        <f t="shared" si="25"/>
        <v>10</v>
      </c>
      <c r="CY53" s="162">
        <v>140</v>
      </c>
      <c r="CZ53" s="171">
        <f t="shared" si="26"/>
        <v>1400</v>
      </c>
      <c r="DB53" s="2">
        <f t="shared" si="34"/>
        <v>10</v>
      </c>
      <c r="DC53" s="62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1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1"/>
      <c r="AL54" s="143"/>
      <c r="AM54" s="13">
        <f t="shared" si="6"/>
        <v>0</v>
      </c>
      <c r="AN54" s="61"/>
      <c r="AO54" s="143"/>
      <c r="AP54" s="13">
        <f t="shared" si="7"/>
        <v>0</v>
      </c>
      <c r="AQ54" s="62"/>
      <c r="AR54" s="143"/>
      <c r="AS54" s="13">
        <f t="shared" si="8"/>
        <v>0</v>
      </c>
      <c r="AT54" s="61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1"/>
      <c r="CE54" s="143"/>
      <c r="CF54" s="13">
        <f t="shared" si="21"/>
        <v>0</v>
      </c>
      <c r="CG54" s="61"/>
      <c r="CH54" s="143"/>
      <c r="CI54" s="13">
        <f t="shared" si="31"/>
        <v>0</v>
      </c>
      <c r="CJ54" s="61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2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16</v>
      </c>
      <c r="G55" s="62">
        <v>30</v>
      </c>
      <c r="H55" s="143"/>
      <c r="I55" s="13">
        <f t="shared" si="0"/>
        <v>46</v>
      </c>
      <c r="J55" s="62"/>
      <c r="K55" s="143">
        <v>5</v>
      </c>
      <c r="L55" s="13">
        <f t="shared" si="1"/>
        <v>41</v>
      </c>
      <c r="M55" s="62"/>
      <c r="N55" s="143"/>
      <c r="O55" s="13">
        <f t="shared" si="2"/>
        <v>41</v>
      </c>
      <c r="P55" s="62"/>
      <c r="Q55" s="143"/>
      <c r="R55" s="13">
        <f t="shared" si="3"/>
        <v>41</v>
      </c>
      <c r="S55" s="62"/>
      <c r="T55" s="143"/>
      <c r="U55" s="13">
        <f t="shared" si="4"/>
        <v>41</v>
      </c>
      <c r="V55" s="62"/>
      <c r="W55" s="143"/>
      <c r="X55" s="13">
        <f t="shared" si="5"/>
        <v>41</v>
      </c>
      <c r="Y55" s="62"/>
      <c r="Z55" s="143"/>
      <c r="AA55" s="13">
        <f t="shared" si="27"/>
        <v>41</v>
      </c>
      <c r="AB55" s="62"/>
      <c r="AC55" s="143">
        <v>6</v>
      </c>
      <c r="AD55" s="13">
        <f t="shared" si="28"/>
        <v>35</v>
      </c>
      <c r="AE55" s="61"/>
      <c r="AF55" s="143"/>
      <c r="AG55" s="13">
        <f t="shared" si="29"/>
        <v>35</v>
      </c>
      <c r="AH55" s="62"/>
      <c r="AI55" s="143"/>
      <c r="AJ55" s="13">
        <f t="shared" si="30"/>
        <v>35</v>
      </c>
      <c r="AK55" s="61"/>
      <c r="AL55" s="143"/>
      <c r="AM55" s="13">
        <f t="shared" si="6"/>
        <v>35</v>
      </c>
      <c r="AN55" s="61"/>
      <c r="AO55" s="143">
        <v>6</v>
      </c>
      <c r="AP55" s="13">
        <f t="shared" si="7"/>
        <v>29</v>
      </c>
      <c r="AQ55" s="62"/>
      <c r="AR55" s="143"/>
      <c r="AS55" s="13">
        <f t="shared" si="8"/>
        <v>29</v>
      </c>
      <c r="AT55" s="61"/>
      <c r="AU55" s="143"/>
      <c r="AV55" s="13">
        <f t="shared" si="9"/>
        <v>29</v>
      </c>
      <c r="AW55" s="62"/>
      <c r="AX55" s="143"/>
      <c r="AY55" s="13">
        <f t="shared" si="10"/>
        <v>29</v>
      </c>
      <c r="AZ55" s="62"/>
      <c r="BA55" s="143"/>
      <c r="BB55" s="13">
        <f t="shared" si="11"/>
        <v>29</v>
      </c>
      <c r="BC55" s="62"/>
      <c r="BD55" s="143"/>
      <c r="BE55" s="13">
        <f t="shared" si="12"/>
        <v>29</v>
      </c>
      <c r="BF55" s="62"/>
      <c r="BG55" s="143">
        <v>6</v>
      </c>
      <c r="BH55" s="13">
        <f t="shared" si="13"/>
        <v>23</v>
      </c>
      <c r="BI55" s="62"/>
      <c r="BJ55" s="143"/>
      <c r="BK55" s="13">
        <f t="shared" si="14"/>
        <v>23</v>
      </c>
      <c r="BL55" s="62"/>
      <c r="BM55" s="143"/>
      <c r="BN55" s="13">
        <f t="shared" si="15"/>
        <v>23</v>
      </c>
      <c r="BO55" s="62"/>
      <c r="BP55" s="143"/>
      <c r="BQ55" s="13">
        <f t="shared" si="16"/>
        <v>23</v>
      </c>
      <c r="BR55" s="62"/>
      <c r="BS55" s="143">
        <v>7</v>
      </c>
      <c r="BT55" s="13">
        <f t="shared" si="17"/>
        <v>16</v>
      </c>
      <c r="BU55" s="62"/>
      <c r="BV55" s="143"/>
      <c r="BW55" s="13">
        <f t="shared" si="18"/>
        <v>16</v>
      </c>
      <c r="BX55" s="62"/>
      <c r="BY55" s="143"/>
      <c r="BZ55" s="13">
        <f t="shared" si="19"/>
        <v>16</v>
      </c>
      <c r="CA55" s="62"/>
      <c r="CB55" s="143"/>
      <c r="CC55" s="13">
        <f t="shared" si="20"/>
        <v>16</v>
      </c>
      <c r="CD55" s="61"/>
      <c r="CE55" s="143"/>
      <c r="CF55" s="13">
        <f t="shared" si="21"/>
        <v>16</v>
      </c>
      <c r="CG55" s="61"/>
      <c r="CH55" s="143"/>
      <c r="CI55" s="13">
        <f t="shared" si="31"/>
        <v>16</v>
      </c>
      <c r="CJ55" s="61"/>
      <c r="CK55" s="143"/>
      <c r="CL55" s="13">
        <f t="shared" si="32"/>
        <v>16</v>
      </c>
      <c r="CM55" s="62"/>
      <c r="CN55" s="143"/>
      <c r="CO55" s="13">
        <f t="shared" si="22"/>
        <v>16</v>
      </c>
      <c r="CP55" s="62"/>
      <c r="CQ55" s="143">
        <v>8</v>
      </c>
      <c r="CR55" s="13">
        <f t="shared" si="33"/>
        <v>8</v>
      </c>
      <c r="CS55" s="62"/>
      <c r="CT55" s="143"/>
      <c r="CU55" s="14">
        <f t="shared" si="23"/>
        <v>8</v>
      </c>
      <c r="CV55" s="5">
        <f t="shared" si="36"/>
        <v>30</v>
      </c>
      <c r="CW55" s="4">
        <f t="shared" si="36"/>
        <v>38</v>
      </c>
      <c r="CX55" s="6">
        <f t="shared" si="25"/>
        <v>8</v>
      </c>
      <c r="CY55" s="162">
        <v>95</v>
      </c>
      <c r="CZ55" s="171">
        <f t="shared" si="26"/>
        <v>760</v>
      </c>
      <c r="DB55" s="2">
        <f t="shared" si="34"/>
        <v>8</v>
      </c>
      <c r="DC55" s="62"/>
      <c r="DD55" s="143"/>
      <c r="DE55" s="149">
        <f t="shared" si="35"/>
        <v>8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>
        <v>1</v>
      </c>
      <c r="W56" s="143"/>
      <c r="X56" s="13">
        <f t="shared" si="5"/>
        <v>1</v>
      </c>
      <c r="Y56" s="62"/>
      <c r="Z56" s="143"/>
      <c r="AA56" s="13">
        <f t="shared" si="27"/>
        <v>1</v>
      </c>
      <c r="AB56" s="62"/>
      <c r="AC56" s="143">
        <v>1</v>
      </c>
      <c r="AD56" s="13">
        <f t="shared" si="28"/>
        <v>0</v>
      </c>
      <c r="AE56" s="61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1"/>
      <c r="AL56" s="143"/>
      <c r="AM56" s="13">
        <f t="shared" si="6"/>
        <v>0</v>
      </c>
      <c r="AN56" s="61"/>
      <c r="AO56" s="143"/>
      <c r="AP56" s="13">
        <f t="shared" si="7"/>
        <v>0</v>
      </c>
      <c r="AQ56" s="62">
        <v>1</v>
      </c>
      <c r="AR56" s="143"/>
      <c r="AS56" s="13">
        <f t="shared" si="8"/>
        <v>1</v>
      </c>
      <c r="AT56" s="61"/>
      <c r="AU56" s="143"/>
      <c r="AV56" s="13">
        <f t="shared" si="9"/>
        <v>1</v>
      </c>
      <c r="AW56" s="62"/>
      <c r="AX56" s="143"/>
      <c r="AY56" s="13">
        <f t="shared" si="10"/>
        <v>1</v>
      </c>
      <c r="AZ56" s="62"/>
      <c r="BA56" s="143"/>
      <c r="BB56" s="13">
        <f t="shared" si="11"/>
        <v>1</v>
      </c>
      <c r="BC56" s="62"/>
      <c r="BD56" s="143"/>
      <c r="BE56" s="13">
        <f t="shared" si="12"/>
        <v>1</v>
      </c>
      <c r="BF56" s="62"/>
      <c r="BG56" s="143">
        <v>1</v>
      </c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>
        <v>1</v>
      </c>
      <c r="BS56" s="143"/>
      <c r="BT56" s="13">
        <f t="shared" si="17"/>
        <v>1</v>
      </c>
      <c r="BU56" s="62"/>
      <c r="BV56" s="143">
        <v>1</v>
      </c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1"/>
      <c r="CE56" s="143"/>
      <c r="CF56" s="13">
        <f t="shared" si="21"/>
        <v>0</v>
      </c>
      <c r="CG56" s="61">
        <v>1</v>
      </c>
      <c r="CH56" s="143"/>
      <c r="CI56" s="13">
        <f t="shared" si="31"/>
        <v>1</v>
      </c>
      <c r="CJ56" s="61"/>
      <c r="CK56" s="143"/>
      <c r="CL56" s="13">
        <f t="shared" si="32"/>
        <v>1</v>
      </c>
      <c r="CM56" s="62"/>
      <c r="CN56" s="143">
        <v>1</v>
      </c>
      <c r="CO56" s="13">
        <f t="shared" si="22"/>
        <v>0</v>
      </c>
      <c r="CP56" s="62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4</v>
      </c>
      <c r="CW56" s="4">
        <f t="shared" si="36"/>
        <v>4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2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1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1"/>
      <c r="AL57" s="143"/>
      <c r="AM57" s="13">
        <f t="shared" si="6"/>
        <v>0</v>
      </c>
      <c r="AN57" s="61"/>
      <c r="AO57" s="143"/>
      <c r="AP57" s="13">
        <f t="shared" si="7"/>
        <v>0</v>
      </c>
      <c r="AQ57" s="62"/>
      <c r="AR57" s="143"/>
      <c r="AS57" s="13">
        <f t="shared" si="8"/>
        <v>0</v>
      </c>
      <c r="AT57" s="61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15.300000000000002</v>
      </c>
      <c r="G58" s="62"/>
      <c r="H58" s="143">
        <f>1.9+1.3+1.7+1</f>
        <v>5.9</v>
      </c>
      <c r="I58" s="13">
        <f t="shared" si="0"/>
        <v>9.4000000000000021</v>
      </c>
      <c r="J58" s="62"/>
      <c r="K58" s="143">
        <f>0.8+0.6+0.9+0.6</f>
        <v>2.9</v>
      </c>
      <c r="L58" s="13">
        <f t="shared" si="1"/>
        <v>6.5000000000000018</v>
      </c>
      <c r="M58" s="62"/>
      <c r="N58" s="143"/>
      <c r="O58" s="13">
        <f t="shared" si="2"/>
        <v>6.5000000000000018</v>
      </c>
      <c r="P58" s="62">
        <v>10</v>
      </c>
      <c r="Q58" s="143">
        <f>4.8</f>
        <v>4.8</v>
      </c>
      <c r="R58" s="13">
        <f t="shared" si="3"/>
        <v>11.7</v>
      </c>
      <c r="S58" s="62"/>
      <c r="T58" s="143">
        <f>0.3</f>
        <v>0.3</v>
      </c>
      <c r="U58" s="13">
        <f t="shared" si="4"/>
        <v>11.399999999999999</v>
      </c>
      <c r="V58" s="62"/>
      <c r="W58" s="143">
        <f>1.6</f>
        <v>1.6</v>
      </c>
      <c r="X58" s="13">
        <f t="shared" si="5"/>
        <v>9.7999999999999989</v>
      </c>
      <c r="Y58" s="62"/>
      <c r="Z58" s="143"/>
      <c r="AA58" s="13">
        <f t="shared" si="27"/>
        <v>9.7999999999999989</v>
      </c>
      <c r="AB58" s="62">
        <v>10</v>
      </c>
      <c r="AC58" s="143">
        <f>1+1.6</f>
        <v>2.6</v>
      </c>
      <c r="AD58" s="13">
        <f t="shared" si="28"/>
        <v>17.199999999999996</v>
      </c>
      <c r="AE58" s="61"/>
      <c r="AF58" s="143">
        <v>2.6</v>
      </c>
      <c r="AG58" s="13">
        <f t="shared" si="29"/>
        <v>14.599999999999996</v>
      </c>
      <c r="AH58" s="62"/>
      <c r="AI58" s="143"/>
      <c r="AJ58" s="13">
        <f t="shared" si="30"/>
        <v>14.599999999999996</v>
      </c>
      <c r="AK58" s="61"/>
      <c r="AL58" s="143">
        <f>0.8+0.8+1</f>
        <v>2.6</v>
      </c>
      <c r="AM58" s="13">
        <f t="shared" si="6"/>
        <v>11.999999999999996</v>
      </c>
      <c r="AN58" s="61"/>
      <c r="AO58" s="143">
        <f>0.5</f>
        <v>0.5</v>
      </c>
      <c r="AP58" s="13">
        <f t="shared" si="7"/>
        <v>11.499999999999996</v>
      </c>
      <c r="AQ58" s="62"/>
      <c r="AR58" s="143"/>
      <c r="AS58" s="13">
        <f t="shared" si="8"/>
        <v>11.499999999999996</v>
      </c>
      <c r="AT58" s="61"/>
      <c r="AU58" s="143"/>
      <c r="AV58" s="13">
        <f t="shared" si="9"/>
        <v>11.499999999999996</v>
      </c>
      <c r="AW58" s="62"/>
      <c r="AX58" s="143"/>
      <c r="AY58" s="13">
        <f t="shared" si="10"/>
        <v>11.499999999999996</v>
      </c>
      <c r="AZ58" s="62"/>
      <c r="BA58" s="143">
        <f>1.4+2.4+2.4</f>
        <v>6.1999999999999993</v>
      </c>
      <c r="BB58" s="13">
        <f t="shared" si="11"/>
        <v>5.2999999999999972</v>
      </c>
      <c r="BC58" s="62"/>
      <c r="BD58" s="143"/>
      <c r="BE58" s="13">
        <f t="shared" si="12"/>
        <v>5.2999999999999972</v>
      </c>
      <c r="BF58" s="62"/>
      <c r="BG58" s="143"/>
      <c r="BH58" s="13">
        <f t="shared" si="13"/>
        <v>5.2999999999999972</v>
      </c>
      <c r="BI58" s="62">
        <f>-0.4+20</f>
        <v>19.600000000000001</v>
      </c>
      <c r="BJ58" s="143">
        <f>0.3+0.6</f>
        <v>0.89999999999999991</v>
      </c>
      <c r="BK58" s="13">
        <f t="shared" si="14"/>
        <v>24</v>
      </c>
      <c r="BL58" s="62"/>
      <c r="BM58" s="143">
        <f>4.3</f>
        <v>4.3</v>
      </c>
      <c r="BN58" s="13">
        <f t="shared" si="15"/>
        <v>19.7</v>
      </c>
      <c r="BO58" s="62"/>
      <c r="BP58" s="143"/>
      <c r="BQ58" s="13">
        <f t="shared" si="16"/>
        <v>19.7</v>
      </c>
      <c r="BR58" s="62"/>
      <c r="BS58" s="143"/>
      <c r="BT58" s="13">
        <f t="shared" si="17"/>
        <v>19.7</v>
      </c>
      <c r="BU58" s="62"/>
      <c r="BV58" s="143"/>
      <c r="BW58" s="13">
        <f t="shared" si="18"/>
        <v>19.7</v>
      </c>
      <c r="BX58" s="62"/>
      <c r="BY58" s="143">
        <f>1.1+1.7</f>
        <v>2.8</v>
      </c>
      <c r="BZ58" s="13">
        <f t="shared" si="19"/>
        <v>16.899999999999999</v>
      </c>
      <c r="CA58" s="62"/>
      <c r="CB58" s="143">
        <f>6.7</f>
        <v>6.7</v>
      </c>
      <c r="CC58" s="13">
        <f t="shared" si="20"/>
        <v>10.199999999999999</v>
      </c>
      <c r="CD58" s="61">
        <v>10</v>
      </c>
      <c r="CE58" s="143">
        <f>0.4</f>
        <v>0.4</v>
      </c>
      <c r="CF58" s="13">
        <f t="shared" si="21"/>
        <v>19.8</v>
      </c>
      <c r="CG58" s="61"/>
      <c r="CH58" s="143">
        <v>2</v>
      </c>
      <c r="CI58" s="13">
        <f t="shared" si="31"/>
        <v>17.8</v>
      </c>
      <c r="CJ58" s="61"/>
      <c r="CK58" s="143"/>
      <c r="CL58" s="13">
        <f t="shared" si="32"/>
        <v>17.8</v>
      </c>
      <c r="CM58" s="62"/>
      <c r="CN58" s="143">
        <f>1.9+2+2.4+2.5</f>
        <v>8.8000000000000007</v>
      </c>
      <c r="CO58" s="13">
        <f t="shared" si="22"/>
        <v>9</v>
      </c>
      <c r="CP58" s="62"/>
      <c r="CQ58" s="143"/>
      <c r="CR58" s="13">
        <f t="shared" si="33"/>
        <v>9</v>
      </c>
      <c r="CS58" s="62"/>
      <c r="CT58" s="143"/>
      <c r="CU58" s="14">
        <f t="shared" si="23"/>
        <v>9</v>
      </c>
      <c r="CV58" s="5">
        <f t="shared" si="36"/>
        <v>49.6</v>
      </c>
      <c r="CW58" s="4">
        <f t="shared" si="36"/>
        <v>55.900000000000006</v>
      </c>
      <c r="CX58" s="6">
        <f t="shared" si="25"/>
        <v>9</v>
      </c>
      <c r="CY58" s="162">
        <v>350</v>
      </c>
      <c r="CZ58" s="171">
        <f t="shared" si="26"/>
        <v>3150</v>
      </c>
      <c r="DB58" s="2">
        <f t="shared" si="34"/>
        <v>9</v>
      </c>
      <c r="DC58" s="62"/>
      <c r="DD58" s="143"/>
      <c r="DE58" s="149">
        <f t="shared" si="35"/>
        <v>9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51</v>
      </c>
      <c r="G59" s="62">
        <v>40</v>
      </c>
      <c r="H59" s="143">
        <f>3+8+21</f>
        <v>32</v>
      </c>
      <c r="I59" s="13">
        <f t="shared" si="0"/>
        <v>59</v>
      </c>
      <c r="J59" s="62">
        <v>50</v>
      </c>
      <c r="K59" s="143">
        <f>4+10+30</f>
        <v>44</v>
      </c>
      <c r="L59" s="13">
        <f t="shared" si="1"/>
        <v>65</v>
      </c>
      <c r="M59" s="62"/>
      <c r="N59" s="143"/>
      <c r="O59" s="13">
        <f t="shared" si="2"/>
        <v>65</v>
      </c>
      <c r="P59" s="62">
        <v>30</v>
      </c>
      <c r="Q59" s="143">
        <f>1+2+7+17</f>
        <v>27</v>
      </c>
      <c r="R59" s="30">
        <f t="shared" si="3"/>
        <v>68</v>
      </c>
      <c r="S59" s="62">
        <v>40</v>
      </c>
      <c r="T59" s="143">
        <f>2+7+16</f>
        <v>25</v>
      </c>
      <c r="U59" s="13">
        <f t="shared" si="4"/>
        <v>83</v>
      </c>
      <c r="V59" s="62">
        <f>40-10</f>
        <v>30</v>
      </c>
      <c r="W59" s="143">
        <f>4+15+37</f>
        <v>56</v>
      </c>
      <c r="X59" s="13">
        <f t="shared" si="5"/>
        <v>57</v>
      </c>
      <c r="Y59" s="62"/>
      <c r="Z59" s="143"/>
      <c r="AA59" s="13">
        <f t="shared" si="27"/>
        <v>57</v>
      </c>
      <c r="AB59" s="62">
        <v>30</v>
      </c>
      <c r="AC59" s="143">
        <f>3+3+16</f>
        <v>22</v>
      </c>
      <c r="AD59" s="13">
        <f t="shared" si="28"/>
        <v>65</v>
      </c>
      <c r="AE59" s="61">
        <v>30</v>
      </c>
      <c r="AF59" s="143">
        <f>4+5+36</f>
        <v>45</v>
      </c>
      <c r="AG59" s="13">
        <f t="shared" si="29"/>
        <v>50</v>
      </c>
      <c r="AH59" s="62"/>
      <c r="AI59" s="143"/>
      <c r="AJ59" s="13">
        <f t="shared" si="30"/>
        <v>50</v>
      </c>
      <c r="AK59" s="61">
        <v>30</v>
      </c>
      <c r="AL59" s="143">
        <f>1+6+2+11</f>
        <v>20</v>
      </c>
      <c r="AM59" s="13">
        <f t="shared" si="6"/>
        <v>60</v>
      </c>
      <c r="AN59" s="61">
        <v>40</v>
      </c>
      <c r="AO59" s="143">
        <f>2+2+23</f>
        <v>27</v>
      </c>
      <c r="AP59" s="13">
        <f t="shared" si="7"/>
        <v>73</v>
      </c>
      <c r="AQ59" s="62">
        <v>40</v>
      </c>
      <c r="AR59" s="190">
        <f>6+13+40+1</f>
        <v>60</v>
      </c>
      <c r="AS59" s="13">
        <f t="shared" si="8"/>
        <v>53</v>
      </c>
      <c r="AT59" s="61"/>
      <c r="AU59" s="143"/>
      <c r="AV59" s="13">
        <f t="shared" si="9"/>
        <v>53</v>
      </c>
      <c r="AW59" s="62">
        <v>40</v>
      </c>
      <c r="AX59" s="143">
        <f>4+3+25</f>
        <v>32</v>
      </c>
      <c r="AY59" s="13">
        <f t="shared" si="10"/>
        <v>61</v>
      </c>
      <c r="AZ59" s="62">
        <v>30</v>
      </c>
      <c r="BA59" s="143">
        <f>4+9+35</f>
        <v>48</v>
      </c>
      <c r="BB59" s="13">
        <f t="shared" si="11"/>
        <v>43</v>
      </c>
      <c r="BC59" s="62"/>
      <c r="BD59" s="143"/>
      <c r="BE59" s="13">
        <f t="shared" si="12"/>
        <v>43</v>
      </c>
      <c r="BF59" s="62">
        <v>30</v>
      </c>
      <c r="BG59" s="143">
        <f>1+7+2+19</f>
        <v>29</v>
      </c>
      <c r="BH59" s="13">
        <f t="shared" si="13"/>
        <v>44</v>
      </c>
      <c r="BI59" s="62">
        <f>50+10</f>
        <v>60</v>
      </c>
      <c r="BJ59" s="143">
        <f>1+6+22</f>
        <v>29</v>
      </c>
      <c r="BK59" s="13">
        <f t="shared" si="14"/>
        <v>75</v>
      </c>
      <c r="BL59" s="62">
        <v>30</v>
      </c>
      <c r="BM59" s="143">
        <f>6+12+39</f>
        <v>57</v>
      </c>
      <c r="BN59" s="13">
        <f t="shared" si="15"/>
        <v>48</v>
      </c>
      <c r="BO59" s="62"/>
      <c r="BP59" s="143"/>
      <c r="BQ59" s="13">
        <f t="shared" si="16"/>
        <v>48</v>
      </c>
      <c r="BR59" s="62">
        <v>40</v>
      </c>
      <c r="BS59" s="143">
        <f>3+7+21</f>
        <v>31</v>
      </c>
      <c r="BT59" s="13">
        <f t="shared" si="17"/>
        <v>57</v>
      </c>
      <c r="BU59" s="62">
        <v>30</v>
      </c>
      <c r="BV59" s="143">
        <f>4+12+37</f>
        <v>53</v>
      </c>
      <c r="BW59" s="13">
        <f t="shared" si="18"/>
        <v>34</v>
      </c>
      <c r="BX59" s="62"/>
      <c r="BY59" s="143"/>
      <c r="BZ59" s="13">
        <f t="shared" si="19"/>
        <v>34</v>
      </c>
      <c r="CA59" s="62">
        <v>40</v>
      </c>
      <c r="CB59" s="143">
        <f>3+7+25</f>
        <v>35</v>
      </c>
      <c r="CC59" s="13">
        <f t="shared" si="20"/>
        <v>39</v>
      </c>
      <c r="CD59" s="61">
        <v>50</v>
      </c>
      <c r="CE59" s="143">
        <f>3+6+15</f>
        <v>24</v>
      </c>
      <c r="CF59" s="13">
        <f t="shared" si="21"/>
        <v>65</v>
      </c>
      <c r="CG59" s="62">
        <v>40</v>
      </c>
      <c r="CH59" s="143">
        <f>6+10+38</f>
        <v>54</v>
      </c>
      <c r="CI59" s="13">
        <f t="shared" si="31"/>
        <v>51</v>
      </c>
      <c r="CJ59" s="61"/>
      <c r="CK59" s="143"/>
      <c r="CL59" s="13">
        <f t="shared" si="32"/>
        <v>51</v>
      </c>
      <c r="CM59" s="62">
        <v>30</v>
      </c>
      <c r="CN59" s="143">
        <f>7+2+19</f>
        <v>28</v>
      </c>
      <c r="CO59" s="13">
        <f t="shared" si="22"/>
        <v>53</v>
      </c>
      <c r="CP59" s="62">
        <v>10</v>
      </c>
      <c r="CQ59" s="143">
        <f>5+13+3+31</f>
        <v>52</v>
      </c>
      <c r="CR59" s="13">
        <f t="shared" si="33"/>
        <v>11</v>
      </c>
      <c r="CS59" s="62"/>
      <c r="CT59" s="143"/>
      <c r="CU59" s="14">
        <f t="shared" si="23"/>
        <v>11</v>
      </c>
      <c r="CV59" s="5">
        <f t="shared" si="36"/>
        <v>790</v>
      </c>
      <c r="CW59" s="4">
        <f t="shared" si="36"/>
        <v>830</v>
      </c>
      <c r="CX59" s="6">
        <f t="shared" si="25"/>
        <v>11</v>
      </c>
      <c r="CY59" s="162">
        <v>214</v>
      </c>
      <c r="CZ59" s="171">
        <f t="shared" si="26"/>
        <v>2354</v>
      </c>
      <c r="DB59" s="2">
        <f t="shared" si="34"/>
        <v>11</v>
      </c>
      <c r="DC59" s="62"/>
      <c r="DD59" s="143"/>
      <c r="DE59" s="149">
        <f t="shared" si="35"/>
        <v>11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20</v>
      </c>
      <c r="G60" s="62">
        <f>-5-7-3-6-3+48</f>
        <v>24</v>
      </c>
      <c r="H60" s="143">
        <v>18</v>
      </c>
      <c r="I60" s="13">
        <f t="shared" si="0"/>
        <v>26</v>
      </c>
      <c r="J60" s="62">
        <v>48</v>
      </c>
      <c r="K60" s="143">
        <f>3+4+12</f>
        <v>19</v>
      </c>
      <c r="L60" s="13">
        <f t="shared" si="1"/>
        <v>55</v>
      </c>
      <c r="M60" s="62"/>
      <c r="N60" s="143">
        <f>4</f>
        <v>4</v>
      </c>
      <c r="O60" s="13">
        <f t="shared" si="2"/>
        <v>51</v>
      </c>
      <c r="P60" s="62">
        <v>24</v>
      </c>
      <c r="Q60" s="143">
        <f>6+5+5+6+10+4</f>
        <v>36</v>
      </c>
      <c r="R60" s="30">
        <f t="shared" si="3"/>
        <v>39</v>
      </c>
      <c r="S60" s="62">
        <v>24</v>
      </c>
      <c r="T60" s="143">
        <f>28</f>
        <v>28</v>
      </c>
      <c r="U60" s="13">
        <f t="shared" si="4"/>
        <v>35</v>
      </c>
      <c r="V60" s="62">
        <v>24</v>
      </c>
      <c r="W60" s="143">
        <f>5+24</f>
        <v>29</v>
      </c>
      <c r="X60" s="13">
        <f t="shared" si="5"/>
        <v>30</v>
      </c>
      <c r="Y60" s="62"/>
      <c r="Z60" s="143"/>
      <c r="AA60" s="13">
        <f t="shared" si="27"/>
        <v>30</v>
      </c>
      <c r="AB60" s="62">
        <v>48</v>
      </c>
      <c r="AC60" s="143">
        <f>3+18</f>
        <v>21</v>
      </c>
      <c r="AD60" s="13">
        <f t="shared" si="28"/>
        <v>57</v>
      </c>
      <c r="AE60" s="61">
        <v>24</v>
      </c>
      <c r="AF60" s="143">
        <f>6+6+3+3+3+18</f>
        <v>39</v>
      </c>
      <c r="AG60" s="13">
        <f t="shared" si="29"/>
        <v>42</v>
      </c>
      <c r="AH60" s="62"/>
      <c r="AI60" s="143">
        <f>4+3+5</f>
        <v>12</v>
      </c>
      <c r="AJ60" s="13">
        <f t="shared" si="30"/>
        <v>30</v>
      </c>
      <c r="AK60" s="61">
        <v>24</v>
      </c>
      <c r="AL60" s="143">
        <f>3+3+4+14</f>
        <v>24</v>
      </c>
      <c r="AM60" s="13">
        <f t="shared" si="6"/>
        <v>30</v>
      </c>
      <c r="AN60" s="61">
        <v>48</v>
      </c>
      <c r="AO60" s="143">
        <f>2+3+2+15</f>
        <v>22</v>
      </c>
      <c r="AP60" s="13">
        <f t="shared" si="7"/>
        <v>56</v>
      </c>
      <c r="AQ60" s="62">
        <v>24</v>
      </c>
      <c r="AR60" s="143">
        <v>26</v>
      </c>
      <c r="AS60" s="13">
        <f t="shared" si="8"/>
        <v>54</v>
      </c>
      <c r="AT60" s="61"/>
      <c r="AU60" s="143"/>
      <c r="AV60" s="13">
        <f t="shared" si="9"/>
        <v>54</v>
      </c>
      <c r="AW60" s="62">
        <v>24</v>
      </c>
      <c r="AX60" s="143">
        <v>22</v>
      </c>
      <c r="AY60" s="13">
        <f t="shared" si="10"/>
        <v>56</v>
      </c>
      <c r="AZ60" s="62">
        <f>-3-4-3+24</f>
        <v>14</v>
      </c>
      <c r="BA60" s="143">
        <f>26</f>
        <v>26</v>
      </c>
      <c r="BB60" s="13">
        <f t="shared" si="11"/>
        <v>44</v>
      </c>
      <c r="BC60" s="62"/>
      <c r="BD60" s="143">
        <f>4+3+3+4+3</f>
        <v>17</v>
      </c>
      <c r="BE60" s="13">
        <f t="shared" si="12"/>
        <v>27</v>
      </c>
      <c r="BF60" s="62">
        <v>24</v>
      </c>
      <c r="BG60" s="143">
        <f>4+3+18</f>
        <v>25</v>
      </c>
      <c r="BH60" s="13">
        <f t="shared" si="13"/>
        <v>26</v>
      </c>
      <c r="BI60" s="62">
        <v>48</v>
      </c>
      <c r="BJ60" s="143">
        <f>8</f>
        <v>8</v>
      </c>
      <c r="BK60" s="13">
        <f t="shared" si="14"/>
        <v>66</v>
      </c>
      <c r="BL60" s="62">
        <v>24</v>
      </c>
      <c r="BM60" s="143">
        <f>5+4+5+24</f>
        <v>38</v>
      </c>
      <c r="BN60" s="13">
        <f t="shared" si="15"/>
        <v>52</v>
      </c>
      <c r="BO60" s="62"/>
      <c r="BP60" s="143"/>
      <c r="BQ60" s="13">
        <f t="shared" si="16"/>
        <v>52</v>
      </c>
      <c r="BR60" s="62">
        <v>24</v>
      </c>
      <c r="BS60" s="143">
        <f>4+6+22</f>
        <v>32</v>
      </c>
      <c r="BT60" s="13">
        <f t="shared" si="17"/>
        <v>44</v>
      </c>
      <c r="BU60" s="62">
        <v>24</v>
      </c>
      <c r="BV60" s="143">
        <f>26</f>
        <v>26</v>
      </c>
      <c r="BW60" s="13">
        <f t="shared" si="18"/>
        <v>42</v>
      </c>
      <c r="BX60" s="62">
        <f>-4-5</f>
        <v>-9</v>
      </c>
      <c r="BY60" s="143"/>
      <c r="BZ60" s="13">
        <f t="shared" si="19"/>
        <v>33</v>
      </c>
      <c r="CA60" s="62">
        <v>24</v>
      </c>
      <c r="CB60" s="143">
        <f>6+3+3+16</f>
        <v>28</v>
      </c>
      <c r="CC60" s="13">
        <f t="shared" si="20"/>
        <v>29</v>
      </c>
      <c r="CD60" s="61">
        <v>48</v>
      </c>
      <c r="CE60" s="143">
        <f>3+3+4+14</f>
        <v>24</v>
      </c>
      <c r="CF60" s="13">
        <f t="shared" si="21"/>
        <v>53</v>
      </c>
      <c r="CG60" s="62">
        <f>-6-4+24</f>
        <v>14</v>
      </c>
      <c r="CH60" s="143">
        <f>38</f>
        <v>38</v>
      </c>
      <c r="CI60" s="13">
        <f t="shared" si="31"/>
        <v>29</v>
      </c>
      <c r="CJ60" s="61"/>
      <c r="CK60" s="143"/>
      <c r="CL60" s="13">
        <f t="shared" si="32"/>
        <v>29</v>
      </c>
      <c r="CM60" s="62">
        <v>24</v>
      </c>
      <c r="CN60" s="143">
        <f>5+22</f>
        <v>27</v>
      </c>
      <c r="CO60" s="13">
        <f t="shared" si="22"/>
        <v>26</v>
      </c>
      <c r="CP60" s="62">
        <f>-6-4-5-5-3-8+31</f>
        <v>0</v>
      </c>
      <c r="CQ60" s="143">
        <v>26</v>
      </c>
      <c r="CR60" s="13">
        <f t="shared" si="33"/>
        <v>0</v>
      </c>
      <c r="CS60" s="62"/>
      <c r="CT60" s="143"/>
      <c r="CU60" s="14">
        <f t="shared" si="23"/>
        <v>0</v>
      </c>
      <c r="CV60" s="5">
        <f t="shared" si="36"/>
        <v>595</v>
      </c>
      <c r="CW60" s="4">
        <f t="shared" si="36"/>
        <v>615</v>
      </c>
      <c r="CX60" s="6">
        <f t="shared" si="25"/>
        <v>0</v>
      </c>
      <c r="CY60" s="162">
        <v>28</v>
      </c>
      <c r="CZ60" s="171">
        <f t="shared" si="26"/>
        <v>0</v>
      </c>
      <c r="DB60" s="2">
        <f t="shared" si="34"/>
        <v>0</v>
      </c>
      <c r="DC60" s="62"/>
      <c r="DD60" s="143"/>
      <c r="DE60" s="149">
        <f t="shared" si="35"/>
        <v>0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1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1"/>
      <c r="AL61" s="143"/>
      <c r="AM61" s="13">
        <f t="shared" si="6"/>
        <v>0</v>
      </c>
      <c r="AN61" s="61"/>
      <c r="AO61" s="143"/>
      <c r="AP61" s="13">
        <f t="shared" si="7"/>
        <v>0</v>
      </c>
      <c r="AQ61" s="62"/>
      <c r="AR61" s="143"/>
      <c r="AS61" s="13">
        <f t="shared" si="8"/>
        <v>0</v>
      </c>
      <c r="AT61" s="61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1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1"/>
      <c r="AL62" s="143"/>
      <c r="AM62" s="13">
        <f t="shared" si="6"/>
        <v>0</v>
      </c>
      <c r="AN62" s="61"/>
      <c r="AO62" s="143"/>
      <c r="AP62" s="13">
        <f t="shared" si="7"/>
        <v>0</v>
      </c>
      <c r="AQ62" s="62"/>
      <c r="AR62" s="143"/>
      <c r="AS62" s="13">
        <f t="shared" si="8"/>
        <v>0</v>
      </c>
      <c r="AT62" s="61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1"/>
      <c r="CE62" s="143"/>
      <c r="CF62" s="13">
        <f t="shared" si="21"/>
        <v>0</v>
      </c>
      <c r="CG62" s="61"/>
      <c r="CH62" s="143"/>
      <c r="CI62" s="13">
        <f t="shared" si="31"/>
        <v>0</v>
      </c>
      <c r="CJ62" s="61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2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 t="s">
        <v>316</v>
      </c>
      <c r="E63" s="52" t="s">
        <v>26</v>
      </c>
      <c r="F63" s="14">
        <v>248</v>
      </c>
      <c r="G63" s="62">
        <f>-180+560+140</f>
        <v>520</v>
      </c>
      <c r="H63" s="143">
        <f>30+205</f>
        <v>235</v>
      </c>
      <c r="I63" s="13">
        <f t="shared" si="0"/>
        <v>533</v>
      </c>
      <c r="J63" s="62">
        <f>280+140-140</f>
        <v>280</v>
      </c>
      <c r="K63" s="143">
        <f>40+5+325</f>
        <v>370</v>
      </c>
      <c r="L63" s="13">
        <f t="shared" si="1"/>
        <v>443</v>
      </c>
      <c r="M63" s="62"/>
      <c r="N63" s="143"/>
      <c r="O63" s="13">
        <f t="shared" si="2"/>
        <v>443</v>
      </c>
      <c r="P63" s="62">
        <f>280+140</f>
        <v>420</v>
      </c>
      <c r="Q63" s="143">
        <f>30+280</f>
        <v>310</v>
      </c>
      <c r="R63" s="30">
        <f t="shared" si="3"/>
        <v>553</v>
      </c>
      <c r="S63" s="62"/>
      <c r="T63" s="143">
        <f>1+160</f>
        <v>161</v>
      </c>
      <c r="U63" s="13">
        <f t="shared" si="4"/>
        <v>392</v>
      </c>
      <c r="V63" s="62">
        <f>140*3</f>
        <v>420</v>
      </c>
      <c r="W63" s="143">
        <f>40+9+300</f>
        <v>349</v>
      </c>
      <c r="X63" s="13">
        <f t="shared" si="5"/>
        <v>463</v>
      </c>
      <c r="Y63" s="62"/>
      <c r="Z63" s="143"/>
      <c r="AA63" s="13">
        <f t="shared" si="27"/>
        <v>463</v>
      </c>
      <c r="AB63" s="62">
        <f>140+140</f>
        <v>280</v>
      </c>
      <c r="AC63" s="143">
        <f>30+1+210</f>
        <v>241</v>
      </c>
      <c r="AD63" s="13">
        <f t="shared" si="28"/>
        <v>502</v>
      </c>
      <c r="AE63" s="61">
        <v>280</v>
      </c>
      <c r="AF63" s="143">
        <f>25+2+315+8</f>
        <v>350</v>
      </c>
      <c r="AG63" s="13">
        <f t="shared" si="29"/>
        <v>432</v>
      </c>
      <c r="AH63" s="62"/>
      <c r="AI63" s="143"/>
      <c r="AJ63" s="13">
        <f t="shared" si="30"/>
        <v>432</v>
      </c>
      <c r="AK63" s="61">
        <v>140</v>
      </c>
      <c r="AL63" s="143">
        <v>175</v>
      </c>
      <c r="AM63" s="13">
        <f t="shared" si="6"/>
        <v>397</v>
      </c>
      <c r="AN63" s="202">
        <v>420</v>
      </c>
      <c r="AO63" s="143">
        <f>6+270</f>
        <v>276</v>
      </c>
      <c r="AP63" s="13">
        <f t="shared" si="7"/>
        <v>541</v>
      </c>
      <c r="AQ63" s="62">
        <f>4*140</f>
        <v>560</v>
      </c>
      <c r="AR63" s="143">
        <f>10+4+395+22</f>
        <v>431</v>
      </c>
      <c r="AS63" s="13">
        <f t="shared" si="8"/>
        <v>670</v>
      </c>
      <c r="AT63" s="202"/>
      <c r="AU63" s="143"/>
      <c r="AV63" s="13">
        <f t="shared" si="9"/>
        <v>670</v>
      </c>
      <c r="AW63" s="62"/>
      <c r="AX63" s="143">
        <f>5+15+275+19</f>
        <v>314</v>
      </c>
      <c r="AY63" s="13">
        <f t="shared" si="10"/>
        <v>356</v>
      </c>
      <c r="AZ63" s="62">
        <f>280+140</f>
        <v>420</v>
      </c>
      <c r="BA63" s="143">
        <f>30+6+280</f>
        <v>316</v>
      </c>
      <c r="BB63" s="13">
        <f t="shared" si="11"/>
        <v>460</v>
      </c>
      <c r="BC63" s="62"/>
      <c r="BD63" s="143"/>
      <c r="BE63" s="13">
        <f t="shared" si="12"/>
        <v>460</v>
      </c>
      <c r="BF63" s="62">
        <v>280</v>
      </c>
      <c r="BG63" s="143">
        <f>4+30+180</f>
        <v>214</v>
      </c>
      <c r="BH63" s="13">
        <f t="shared" si="13"/>
        <v>526</v>
      </c>
      <c r="BI63" s="62">
        <v>280</v>
      </c>
      <c r="BJ63" s="143">
        <v>60</v>
      </c>
      <c r="BK63" s="13">
        <f t="shared" si="14"/>
        <v>746</v>
      </c>
      <c r="BL63" s="62"/>
      <c r="BM63" s="143">
        <f>3+120</f>
        <v>123</v>
      </c>
      <c r="BN63" s="13">
        <f t="shared" si="15"/>
        <v>623</v>
      </c>
      <c r="BO63" s="62"/>
      <c r="BP63" s="143"/>
      <c r="BQ63" s="13">
        <f t="shared" si="16"/>
        <v>623</v>
      </c>
      <c r="BR63" s="62"/>
      <c r="BS63" s="143">
        <f>10+120</f>
        <v>130</v>
      </c>
      <c r="BT63" s="13">
        <f t="shared" si="17"/>
        <v>493</v>
      </c>
      <c r="BU63" s="62"/>
      <c r="BV63" s="143">
        <f>10+2+105</f>
        <v>117</v>
      </c>
      <c r="BW63" s="13">
        <f t="shared" si="18"/>
        <v>376</v>
      </c>
      <c r="BX63" s="62"/>
      <c r="BY63" s="143"/>
      <c r="BZ63" s="13">
        <f t="shared" si="19"/>
        <v>376</v>
      </c>
      <c r="CA63" s="62">
        <f>280+140</f>
        <v>420</v>
      </c>
      <c r="CB63" s="143">
        <f>25+6+290+11</f>
        <v>332</v>
      </c>
      <c r="CC63" s="13">
        <f t="shared" si="20"/>
        <v>464</v>
      </c>
      <c r="CD63" s="61">
        <v>280</v>
      </c>
      <c r="CE63" s="143">
        <f>25+20+150</f>
        <v>195</v>
      </c>
      <c r="CF63" s="13">
        <f t="shared" si="21"/>
        <v>549</v>
      </c>
      <c r="CG63" s="61"/>
      <c r="CH63" s="143">
        <f>40+24+140</f>
        <v>204</v>
      </c>
      <c r="CI63" s="13">
        <f t="shared" si="31"/>
        <v>345</v>
      </c>
      <c r="CJ63" s="61"/>
      <c r="CK63" s="143"/>
      <c r="CL63" s="13">
        <f t="shared" si="32"/>
        <v>345</v>
      </c>
      <c r="CM63" s="62">
        <v>280</v>
      </c>
      <c r="CN63" s="143">
        <f>19+20+120</f>
        <v>159</v>
      </c>
      <c r="CO63" s="13">
        <f t="shared" si="22"/>
        <v>466</v>
      </c>
      <c r="CP63" s="62"/>
      <c r="CQ63" s="143">
        <f>30+15+170</f>
        <v>215</v>
      </c>
      <c r="CR63" s="13">
        <f t="shared" si="33"/>
        <v>251</v>
      </c>
      <c r="CS63" s="62"/>
      <c r="CT63" s="143"/>
      <c r="CU63" s="14">
        <f t="shared" si="23"/>
        <v>251</v>
      </c>
      <c r="CV63" s="5">
        <f t="shared" si="36"/>
        <v>5280</v>
      </c>
      <c r="CW63" s="4">
        <f t="shared" si="36"/>
        <v>5277</v>
      </c>
      <c r="CX63" s="6">
        <f t="shared" si="25"/>
        <v>251</v>
      </c>
      <c r="CY63" s="162">
        <v>43</v>
      </c>
      <c r="CZ63" s="171">
        <f t="shared" si="26"/>
        <v>10793</v>
      </c>
      <c r="DB63" s="2">
        <f t="shared" si="34"/>
        <v>251</v>
      </c>
      <c r="DC63" s="62"/>
      <c r="DD63" s="143"/>
      <c r="DE63" s="149">
        <f t="shared" si="35"/>
        <v>251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1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1"/>
      <c r="AL64" s="143"/>
      <c r="AM64" s="13">
        <f t="shared" si="6"/>
        <v>0</v>
      </c>
      <c r="AN64" s="61"/>
      <c r="AO64" s="143"/>
      <c r="AP64" s="13">
        <f t="shared" si="7"/>
        <v>0</v>
      </c>
      <c r="AQ64" s="62"/>
      <c r="AR64" s="143"/>
      <c r="AS64" s="13">
        <f t="shared" si="8"/>
        <v>0</v>
      </c>
      <c r="AT64" s="61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90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1"/>
      <c r="CE64" s="143"/>
      <c r="CF64" s="13">
        <f t="shared" si="21"/>
        <v>0</v>
      </c>
      <c r="CG64" s="61"/>
      <c r="CH64" s="143"/>
      <c r="CI64" s="13">
        <f t="shared" si="31"/>
        <v>0</v>
      </c>
      <c r="CJ64" s="61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2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1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1"/>
      <c r="AL65" s="143"/>
      <c r="AM65" s="13">
        <f t="shared" si="6"/>
        <v>0</v>
      </c>
      <c r="AN65" s="61"/>
      <c r="AO65" s="143"/>
      <c r="AP65" s="13">
        <f t="shared" si="7"/>
        <v>0</v>
      </c>
      <c r="AQ65" s="62"/>
      <c r="AR65" s="143"/>
      <c r="AS65" s="13">
        <f t="shared" si="8"/>
        <v>0</v>
      </c>
      <c r="AT65" s="61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1"/>
      <c r="CE65" s="143"/>
      <c r="CF65" s="13">
        <f t="shared" si="21"/>
        <v>0</v>
      </c>
      <c r="CG65" s="61"/>
      <c r="CH65" s="143"/>
      <c r="CI65" s="13">
        <f t="shared" si="31"/>
        <v>0</v>
      </c>
      <c r="CJ65" s="61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2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1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1"/>
      <c r="AL66" s="143"/>
      <c r="AM66" s="13">
        <f t="shared" si="6"/>
        <v>0</v>
      </c>
      <c r="AN66" s="61"/>
      <c r="AO66" s="143"/>
      <c r="AP66" s="13">
        <f t="shared" si="7"/>
        <v>0</v>
      </c>
      <c r="AQ66" s="62"/>
      <c r="AR66" s="143"/>
      <c r="AS66" s="13">
        <f t="shared" si="8"/>
        <v>0</v>
      </c>
      <c r="AT66" s="61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1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1"/>
      <c r="AL67" s="143"/>
      <c r="AM67" s="13">
        <f t="shared" si="6"/>
        <v>0</v>
      </c>
      <c r="AN67" s="61"/>
      <c r="AO67" s="143"/>
      <c r="AP67" s="13">
        <f t="shared" si="7"/>
        <v>0</v>
      </c>
      <c r="AQ67" s="62"/>
      <c r="AR67" s="143"/>
      <c r="AS67" s="13">
        <f t="shared" si="8"/>
        <v>0</v>
      </c>
      <c r="AT67" s="61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321</v>
      </c>
      <c r="C68" s="104" t="s">
        <v>21</v>
      </c>
      <c r="D68" s="34"/>
      <c r="E68" s="34"/>
      <c r="F68" s="14">
        <v>1</v>
      </c>
      <c r="G68" s="62"/>
      <c r="H68" s="143"/>
      <c r="I68" s="13">
        <f>F68+G68-H68</f>
        <v>1</v>
      </c>
      <c r="J68" s="62"/>
      <c r="K68" s="143"/>
      <c r="L68" s="13">
        <f>I68+J68-K68</f>
        <v>1</v>
      </c>
      <c r="M68" s="62"/>
      <c r="N68" s="143"/>
      <c r="O68" s="13">
        <f>L68+M68-N68</f>
        <v>1</v>
      </c>
      <c r="P68" s="62"/>
      <c r="Q68" s="143"/>
      <c r="R68" s="13">
        <f>O68+P68-Q68</f>
        <v>1</v>
      </c>
      <c r="S68" s="62"/>
      <c r="T68" s="143"/>
      <c r="U68" s="13">
        <f t="shared" si="4"/>
        <v>1</v>
      </c>
      <c r="V68" s="62"/>
      <c r="W68" s="143"/>
      <c r="X68" s="13">
        <f t="shared" si="5"/>
        <v>1</v>
      </c>
      <c r="Y68" s="62"/>
      <c r="Z68" s="143"/>
      <c r="AA68" s="13">
        <f t="shared" si="27"/>
        <v>1</v>
      </c>
      <c r="AB68" s="62"/>
      <c r="AC68" s="143"/>
      <c r="AD68" s="13">
        <f t="shared" si="28"/>
        <v>1</v>
      </c>
      <c r="AE68" s="61"/>
      <c r="AF68" s="143">
        <v>1</v>
      </c>
      <c r="AG68" s="13">
        <f t="shared" si="29"/>
        <v>0</v>
      </c>
      <c r="AH68" s="62"/>
      <c r="AI68" s="143"/>
      <c r="AJ68" s="13">
        <f t="shared" si="30"/>
        <v>0</v>
      </c>
      <c r="AK68" s="61"/>
      <c r="AL68" s="143"/>
      <c r="AM68" s="13">
        <f t="shared" si="6"/>
        <v>0</v>
      </c>
      <c r="AN68" s="61"/>
      <c r="AO68" s="143"/>
      <c r="AP68" s="13">
        <f t="shared" si="7"/>
        <v>0</v>
      </c>
      <c r="AQ68" s="62"/>
      <c r="AR68" s="143"/>
      <c r="AS68" s="13">
        <f t="shared" si="8"/>
        <v>0</v>
      </c>
      <c r="AT68" s="61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>
        <v>32</v>
      </c>
      <c r="CQ68" s="143"/>
      <c r="CR68" s="13">
        <f t="shared" si="33"/>
        <v>32</v>
      </c>
      <c r="CS68" s="62"/>
      <c r="CT68" s="143"/>
      <c r="CU68" s="14">
        <f t="shared" si="23"/>
        <v>32</v>
      </c>
      <c r="CV68" s="5">
        <f t="shared" si="36"/>
        <v>32</v>
      </c>
      <c r="CW68" s="4">
        <f t="shared" si="36"/>
        <v>1</v>
      </c>
      <c r="CX68" s="6">
        <f t="shared" si="25"/>
        <v>32</v>
      </c>
      <c r="CY68" s="162">
        <v>166</v>
      </c>
      <c r="CZ68" s="171">
        <f t="shared" si="26"/>
        <v>5312</v>
      </c>
      <c r="DB68" s="2">
        <f t="shared" si="34"/>
        <v>32</v>
      </c>
      <c r="DC68" s="62"/>
      <c r="DD68" s="143"/>
      <c r="DE68" s="149">
        <f t="shared" si="35"/>
        <v>32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1"/>
      <c r="AF69" s="143"/>
      <c r="AG69" s="13">
        <f>AD69+AE69-AF69</f>
        <v>0</v>
      </c>
      <c r="AH69" s="62"/>
      <c r="AI69" s="143"/>
      <c r="AJ69" s="13">
        <f>AG69+AH69-AI69</f>
        <v>0</v>
      </c>
      <c r="AK69" s="61"/>
      <c r="AL69" s="143"/>
      <c r="AM69" s="13">
        <f>AJ69+AK69-AL69</f>
        <v>0</v>
      </c>
      <c r="AN69" s="61"/>
      <c r="AO69" s="143"/>
      <c r="AP69" s="13">
        <f>AM69+AN69-AO69</f>
        <v>0</v>
      </c>
      <c r="AQ69" s="62"/>
      <c r="AR69" s="143"/>
      <c r="AS69" s="13">
        <f>AP69+AQ69-AR69</f>
        <v>0</v>
      </c>
      <c r="AT69" s="61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20</v>
      </c>
      <c r="G70" s="62"/>
      <c r="H70" s="143"/>
      <c r="I70" s="13">
        <f>F70+G70-H70</f>
        <v>20</v>
      </c>
      <c r="J70" s="62"/>
      <c r="K70" s="143"/>
      <c r="L70" s="13">
        <f>I70+J70-K70</f>
        <v>20</v>
      </c>
      <c r="M70" s="62"/>
      <c r="N70" s="143"/>
      <c r="O70" s="13">
        <f>L70+M70-N70</f>
        <v>20</v>
      </c>
      <c r="P70" s="62"/>
      <c r="Q70" s="143"/>
      <c r="R70" s="30">
        <f>O70+P70-Q70</f>
        <v>20</v>
      </c>
      <c r="S70" s="62"/>
      <c r="T70" s="143"/>
      <c r="U70" s="13">
        <f>R70+S70-T70</f>
        <v>20</v>
      </c>
      <c r="V70" s="62"/>
      <c r="W70" s="143"/>
      <c r="X70" s="13">
        <f>U70+V70-W70</f>
        <v>20</v>
      </c>
      <c r="Y70" s="62"/>
      <c r="Z70" s="143"/>
      <c r="AA70" s="13">
        <f>X70+Y70-Z70</f>
        <v>20</v>
      </c>
      <c r="AB70" s="62"/>
      <c r="AC70" s="143"/>
      <c r="AD70" s="13">
        <f>AA70+AB70-AC70</f>
        <v>20</v>
      </c>
      <c r="AE70" s="61"/>
      <c r="AF70" s="143"/>
      <c r="AG70" s="13">
        <f>AD70+AE70-AF70</f>
        <v>20</v>
      </c>
      <c r="AH70" s="62"/>
      <c r="AI70" s="143"/>
      <c r="AJ70" s="13">
        <f>AG70+AH70-AI70</f>
        <v>20</v>
      </c>
      <c r="AK70" s="61"/>
      <c r="AL70" s="143"/>
      <c r="AM70" s="13">
        <f>AJ70+AK70-AL70</f>
        <v>20</v>
      </c>
      <c r="AN70" s="61"/>
      <c r="AO70" s="143"/>
      <c r="AP70" s="13">
        <f>AM70+AN70-AO70</f>
        <v>20</v>
      </c>
      <c r="AQ70" s="62"/>
      <c r="AR70" s="143"/>
      <c r="AS70" s="13">
        <f>AP70+AQ70-AR70</f>
        <v>20</v>
      </c>
      <c r="AT70" s="61"/>
      <c r="AU70" s="143"/>
      <c r="AV70" s="13">
        <f>AS70+AT70-AU70</f>
        <v>20</v>
      </c>
      <c r="AW70" s="62"/>
      <c r="AX70" s="143"/>
      <c r="AY70" s="13">
        <f>AV70+AW70-AX70</f>
        <v>20</v>
      </c>
      <c r="AZ70" s="62"/>
      <c r="BA70" s="143"/>
      <c r="BB70" s="13">
        <f>AY70+AZ70-BA70</f>
        <v>20</v>
      </c>
      <c r="BC70" s="62"/>
      <c r="BD70" s="143"/>
      <c r="BE70" s="13">
        <f>BB70+BC70-BD70</f>
        <v>20</v>
      </c>
      <c r="BF70" s="62"/>
      <c r="BG70" s="143"/>
      <c r="BH70" s="13">
        <f>BE70+BF70-BG70</f>
        <v>20</v>
      </c>
      <c r="BI70" s="62"/>
      <c r="BJ70" s="143"/>
      <c r="BK70" s="13">
        <f>BH70+BI70-BJ70</f>
        <v>20</v>
      </c>
      <c r="BL70" s="62"/>
      <c r="BM70" s="143"/>
      <c r="BN70" s="13">
        <f>BK70+BL70-BM70</f>
        <v>20</v>
      </c>
      <c r="BO70" s="62"/>
      <c r="BP70" s="143"/>
      <c r="BQ70" s="13">
        <f>BN70+BO70-BP70</f>
        <v>20</v>
      </c>
      <c r="BR70" s="62"/>
      <c r="BS70" s="143"/>
      <c r="BT70" s="13">
        <f t="shared" si="37"/>
        <v>20</v>
      </c>
      <c r="BU70" s="62"/>
      <c r="BV70" s="143"/>
      <c r="BW70" s="13">
        <f>BT70+BU70-BV70</f>
        <v>20</v>
      </c>
      <c r="BX70" s="62"/>
      <c r="BY70" s="143"/>
      <c r="BZ70" s="13">
        <f t="shared" si="38"/>
        <v>20</v>
      </c>
      <c r="CA70" s="62"/>
      <c r="CB70" s="143"/>
      <c r="CC70" s="13">
        <f t="shared" si="39"/>
        <v>20</v>
      </c>
      <c r="CD70" s="62"/>
      <c r="CE70" s="143"/>
      <c r="CF70" s="13">
        <f t="shared" si="40"/>
        <v>20</v>
      </c>
      <c r="CG70" s="62"/>
      <c r="CH70" s="143"/>
      <c r="CI70" s="13">
        <f t="shared" ref="CI70:CI85" si="46">CF70+CG70-CH70</f>
        <v>20</v>
      </c>
      <c r="CJ70" s="62"/>
      <c r="CK70" s="143"/>
      <c r="CL70" s="13">
        <f t="shared" ref="CL70:CL85" si="47">CI70+CJ70-CK70</f>
        <v>20</v>
      </c>
      <c r="CM70" s="62"/>
      <c r="CN70" s="143"/>
      <c r="CO70" s="13">
        <f t="shared" si="41"/>
        <v>20</v>
      </c>
      <c r="CP70" s="62"/>
      <c r="CQ70" s="143"/>
      <c r="CR70" s="13">
        <f t="shared" ref="CR70:CR85" si="48">CO70+CP70-CQ70</f>
        <v>20</v>
      </c>
      <c r="CS70" s="62"/>
      <c r="CT70" s="143"/>
      <c r="CU70" s="14">
        <f t="shared" si="42"/>
        <v>20</v>
      </c>
      <c r="CV70" s="5">
        <f t="shared" si="43"/>
        <v>0</v>
      </c>
      <c r="CW70" s="4">
        <f t="shared" si="43"/>
        <v>0</v>
      </c>
      <c r="CX70" s="6">
        <f t="shared" si="44"/>
        <v>20</v>
      </c>
      <c r="CY70" s="162">
        <v>0</v>
      </c>
      <c r="CZ70" s="171">
        <f t="shared" si="45"/>
        <v>0</v>
      </c>
      <c r="DB70" s="2">
        <f t="shared" ref="DB70:DB93" si="49">CU70</f>
        <v>20</v>
      </c>
      <c r="DC70" s="62"/>
      <c r="DD70" s="143"/>
      <c r="DE70" s="149">
        <f t="shared" si="35"/>
        <v>20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12</v>
      </c>
      <c r="G71" s="62"/>
      <c r="H71" s="143"/>
      <c r="I71" s="13">
        <f>F71+G71-H71</f>
        <v>12</v>
      </c>
      <c r="J71" s="62"/>
      <c r="K71" s="143">
        <f>1+8</f>
        <v>9</v>
      </c>
      <c r="L71" s="13">
        <f>I71+J71-K71</f>
        <v>3</v>
      </c>
      <c r="M71" s="62"/>
      <c r="N71" s="143">
        <f>3</f>
        <v>3</v>
      </c>
      <c r="O71" s="13">
        <f>L71+M71-N71</f>
        <v>0</v>
      </c>
      <c r="P71" s="62"/>
      <c r="Q71" s="143"/>
      <c r="R71" s="13">
        <f>O71+P71-Q71</f>
        <v>0</v>
      </c>
      <c r="S71" s="62"/>
      <c r="T71" s="143"/>
      <c r="U71" s="13">
        <f>R71+S71-T71</f>
        <v>0</v>
      </c>
      <c r="V71" s="62"/>
      <c r="W71" s="143"/>
      <c r="X71" s="13">
        <f>U71+V71-W71</f>
        <v>0</v>
      </c>
      <c r="Y71" s="62"/>
      <c r="Z71" s="143"/>
      <c r="AA71" s="13">
        <f>X71+Y71-Z71</f>
        <v>0</v>
      </c>
      <c r="AB71" s="62"/>
      <c r="AC71" s="143"/>
      <c r="AD71" s="13">
        <f>AA71+AB71-AC71</f>
        <v>0</v>
      </c>
      <c r="AE71" s="61">
        <v>32</v>
      </c>
      <c r="AF71" s="143"/>
      <c r="AG71" s="13">
        <f>AD71+AE71-AF71</f>
        <v>32</v>
      </c>
      <c r="AH71" s="62"/>
      <c r="AI71" s="143"/>
      <c r="AJ71" s="13">
        <f>AG71+AH71-AI71</f>
        <v>32</v>
      </c>
      <c r="AK71" s="61"/>
      <c r="AL71" s="143">
        <f>5</f>
        <v>5</v>
      </c>
      <c r="AM71" s="13">
        <f>AJ71+AK71-AL71</f>
        <v>27</v>
      </c>
      <c r="AN71" s="61"/>
      <c r="AO71" s="143">
        <v>1</v>
      </c>
      <c r="AP71" s="13">
        <f>AM71+AN71-AO71</f>
        <v>26</v>
      </c>
      <c r="AQ71" s="62"/>
      <c r="AR71" s="143"/>
      <c r="AS71" s="13">
        <f>AP71+AQ71-AR71</f>
        <v>26</v>
      </c>
      <c r="AT71" s="61"/>
      <c r="AU71" s="143"/>
      <c r="AV71" s="13">
        <f>AS71+AT71-AU71</f>
        <v>26</v>
      </c>
      <c r="AW71" s="62"/>
      <c r="AX71" s="143"/>
      <c r="AY71" s="13">
        <f>AV71+AW71-AX71</f>
        <v>26</v>
      </c>
      <c r="AZ71" s="62"/>
      <c r="BA71" s="143">
        <f>1</f>
        <v>1</v>
      </c>
      <c r="BB71" s="13">
        <f>AY71+AZ71-BA71</f>
        <v>25</v>
      </c>
      <c r="BC71" s="62"/>
      <c r="BD71" s="143">
        <f>5+3</f>
        <v>8</v>
      </c>
      <c r="BE71" s="13">
        <f>BB71+BC71-BD71</f>
        <v>17</v>
      </c>
      <c r="BF71" s="62"/>
      <c r="BG71" s="143"/>
      <c r="BH71" s="13">
        <f>BE71+BF71-BG71</f>
        <v>17</v>
      </c>
      <c r="BI71" s="62"/>
      <c r="BJ71" s="143"/>
      <c r="BK71" s="13">
        <f>BH71+BI71-BJ71</f>
        <v>17</v>
      </c>
      <c r="BL71" s="62"/>
      <c r="BM71" s="143"/>
      <c r="BN71" s="13">
        <f>BK71+BL71-BM71</f>
        <v>17</v>
      </c>
      <c r="BO71" s="62"/>
      <c r="BP71" s="143"/>
      <c r="BQ71" s="13">
        <f>BN71+BO71-BP71</f>
        <v>17</v>
      </c>
      <c r="BR71" s="62">
        <f>32-32</f>
        <v>0</v>
      </c>
      <c r="BS71" s="143"/>
      <c r="BT71" s="13">
        <f t="shared" si="37"/>
        <v>17</v>
      </c>
      <c r="BU71" s="62"/>
      <c r="BV71" s="143"/>
      <c r="BW71" s="13">
        <f>BT71+BU71-BV71</f>
        <v>17</v>
      </c>
      <c r="BX71" s="62">
        <f>32-5</f>
        <v>27</v>
      </c>
      <c r="BY71" s="143">
        <f>15</f>
        <v>15</v>
      </c>
      <c r="BZ71" s="13">
        <f t="shared" si="38"/>
        <v>29</v>
      </c>
      <c r="CA71" s="62"/>
      <c r="CB71" s="143"/>
      <c r="CC71" s="13">
        <f t="shared" si="39"/>
        <v>29</v>
      </c>
      <c r="CD71" s="62"/>
      <c r="CE71" s="143"/>
      <c r="CF71" s="13">
        <f t="shared" si="40"/>
        <v>29</v>
      </c>
      <c r="CG71" s="62"/>
      <c r="CH71" s="143"/>
      <c r="CI71" s="13">
        <f t="shared" si="46"/>
        <v>29</v>
      </c>
      <c r="CJ71" s="62"/>
      <c r="CK71" s="143"/>
      <c r="CL71" s="13">
        <f t="shared" si="47"/>
        <v>29</v>
      </c>
      <c r="CM71" s="62"/>
      <c r="CN71" s="143"/>
      <c r="CO71" s="13">
        <f t="shared" si="41"/>
        <v>29</v>
      </c>
      <c r="CP71" s="62"/>
      <c r="CQ71" s="143">
        <f>4+1</f>
        <v>5</v>
      </c>
      <c r="CR71" s="13">
        <f t="shared" si="48"/>
        <v>24</v>
      </c>
      <c r="CS71" s="62"/>
      <c r="CT71" s="143"/>
      <c r="CU71" s="14">
        <f t="shared" si="42"/>
        <v>24</v>
      </c>
      <c r="CV71" s="5">
        <f t="shared" si="43"/>
        <v>59</v>
      </c>
      <c r="CW71" s="4">
        <f t="shared" si="43"/>
        <v>47</v>
      </c>
      <c r="CX71" s="6">
        <f t="shared" si="44"/>
        <v>24</v>
      </c>
      <c r="CY71" s="162">
        <v>166</v>
      </c>
      <c r="CZ71" s="171">
        <f t="shared" si="45"/>
        <v>3984</v>
      </c>
      <c r="DB71" s="2">
        <f t="shared" si="49"/>
        <v>24</v>
      </c>
      <c r="DC71" s="62"/>
      <c r="DD71" s="143"/>
      <c r="DE71" s="149">
        <f t="shared" ref="DE71:DE93" si="50">DC71+DB71-DD71</f>
        <v>24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4">
        <v>0</v>
      </c>
      <c r="G72" s="61"/>
      <c r="H72" s="199"/>
      <c r="I72" s="13">
        <f>F72+G72-H72</f>
        <v>0</v>
      </c>
      <c r="J72" s="61"/>
      <c r="K72" s="199"/>
      <c r="L72" s="13">
        <f>I72+J72-K72</f>
        <v>0</v>
      </c>
      <c r="M72" s="61"/>
      <c r="N72" s="199"/>
      <c r="O72" s="13">
        <f>L72+M72-N72</f>
        <v>0</v>
      </c>
      <c r="P72" s="61"/>
      <c r="Q72" s="199"/>
      <c r="R72" s="30">
        <f>O72+P72-Q72</f>
        <v>0</v>
      </c>
      <c r="S72" s="61"/>
      <c r="T72" s="199"/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/>
      <c r="AL72" s="199"/>
      <c r="AM72" s="13">
        <f>AJ72+AK72-AL72</f>
        <v>0</v>
      </c>
      <c r="AN72" s="61"/>
      <c r="AO72" s="199"/>
      <c r="AP72" s="13">
        <f>AM72+AN72-AO72</f>
        <v>0</v>
      </c>
      <c r="AQ72" s="61"/>
      <c r="AR72" s="199"/>
      <c r="AS72" s="13">
        <f>AP72+AQ72-AR72</f>
        <v>0</v>
      </c>
      <c r="AT72" s="61"/>
      <c r="AU72" s="199"/>
      <c r="AV72" s="13">
        <f>AS72+AT72-AU72</f>
        <v>0</v>
      </c>
      <c r="AW72" s="61"/>
      <c r="AX72" s="199"/>
      <c r="AY72" s="13">
        <f>AV72+AW72-AX72</f>
        <v>0</v>
      </c>
      <c r="AZ72" s="62"/>
      <c r="BA72" s="199"/>
      <c r="BB72" s="13">
        <f>AY72+AZ72-BA72</f>
        <v>0</v>
      </c>
      <c r="BC72" s="61"/>
      <c r="BD72" s="199"/>
      <c r="BE72" s="13">
        <f>BB72+BC72-BD72</f>
        <v>0</v>
      </c>
      <c r="BF72" s="62"/>
      <c r="BG72" s="199"/>
      <c r="BH72" s="13">
        <f>BE72+BF72-BG72</f>
        <v>0</v>
      </c>
      <c r="BI72" s="62"/>
      <c r="BJ72" s="199"/>
      <c r="BK72" s="13">
        <f>BH72+BI72-BJ72</f>
        <v>0</v>
      </c>
      <c r="BL72" s="62"/>
      <c r="BM72" s="199"/>
      <c r="BN72" s="13">
        <f>BK72+BL72-BM72</f>
        <v>0</v>
      </c>
      <c r="BO72" s="62"/>
      <c r="BP72" s="199"/>
      <c r="BQ72" s="13">
        <f>BN72+BO72-BP72</f>
        <v>0</v>
      </c>
      <c r="BR72" s="62"/>
      <c r="BS72" s="199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1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1"/>
      <c r="DD72" s="199"/>
      <c r="DE72" s="149">
        <f t="shared" si="50"/>
        <v>0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7</v>
      </c>
      <c r="G73" s="62"/>
      <c r="H73" s="143">
        <v>7</v>
      </c>
      <c r="I73" s="13">
        <f t="shared" ref="I73:I76" si="51">F73+G73-H73</f>
        <v>0</v>
      </c>
      <c r="J73" s="62">
        <f>28+28</f>
        <v>56</v>
      </c>
      <c r="K73" s="143"/>
      <c r="L73" s="13">
        <f t="shared" ref="L73:L77" si="52">I73+J73-K73</f>
        <v>56</v>
      </c>
      <c r="M73" s="62"/>
      <c r="N73" s="143">
        <f>11+17</f>
        <v>28</v>
      </c>
      <c r="O73" s="13">
        <f t="shared" ref="O73:O77" si="53">L73+M73-N73</f>
        <v>28</v>
      </c>
      <c r="P73" s="62"/>
      <c r="Q73" s="143">
        <f>9</f>
        <v>9</v>
      </c>
      <c r="R73" s="30">
        <f t="shared" ref="R73:R77" si="54">O73+P73-Q73</f>
        <v>19</v>
      </c>
      <c r="S73" s="62"/>
      <c r="T73" s="143"/>
      <c r="U73" s="13">
        <f t="shared" ref="U73:U76" si="55">R73+S73-T73</f>
        <v>19</v>
      </c>
      <c r="V73" s="62">
        <v>28</v>
      </c>
      <c r="W73" s="143">
        <v>13</v>
      </c>
      <c r="X73" s="13">
        <f t="shared" ref="X73:X77" si="56">U73+V73-W73</f>
        <v>34</v>
      </c>
      <c r="Y73" s="62"/>
      <c r="Z73" s="143"/>
      <c r="AA73" s="13">
        <f t="shared" ref="AA73:AA93" si="57">X73+Y73-Z73</f>
        <v>34</v>
      </c>
      <c r="AB73" s="62"/>
      <c r="AC73" s="143">
        <f>13+7</f>
        <v>20</v>
      </c>
      <c r="AD73" s="13">
        <f t="shared" ref="AD73:AD77" si="58">AA73+AB73-AC73</f>
        <v>14</v>
      </c>
      <c r="AE73" s="61"/>
      <c r="AF73" s="143"/>
      <c r="AG73" s="13">
        <f t="shared" ref="AG73:AG77" si="59">AD73+AE73-AF73</f>
        <v>14</v>
      </c>
      <c r="AH73" s="62"/>
      <c r="AI73" s="143">
        <f>9+1</f>
        <v>10</v>
      </c>
      <c r="AJ73" s="13">
        <f t="shared" ref="AJ73:AJ77" si="60">AG73+AH73-AI73</f>
        <v>4</v>
      </c>
      <c r="AK73" s="61">
        <v>32</v>
      </c>
      <c r="AL73" s="143"/>
      <c r="AM73" s="13">
        <f t="shared" ref="AM73:AM77" si="61">AJ73+AK73-AL73</f>
        <v>36</v>
      </c>
      <c r="AN73" s="61"/>
      <c r="AO73" s="143">
        <f>3+12</f>
        <v>15</v>
      </c>
      <c r="AP73" s="13">
        <f t="shared" ref="AP73:AP77" si="62">AM73+AN73-AO73</f>
        <v>21</v>
      </c>
      <c r="AQ73" s="62"/>
      <c r="AR73" s="143"/>
      <c r="AS73" s="13">
        <f t="shared" ref="AS73:AS77" si="63">AP73+AQ73-AR73</f>
        <v>21</v>
      </c>
      <c r="AT73" s="61"/>
      <c r="AU73" s="143"/>
      <c r="AV73" s="13">
        <f t="shared" ref="AV73:AV77" si="64">AS73+AT73-AU73</f>
        <v>21</v>
      </c>
      <c r="AW73" s="62"/>
      <c r="AX73" s="143"/>
      <c r="AY73" s="13">
        <f t="shared" ref="AY73:AY77" si="65">AV73+AW73-AX73</f>
        <v>21</v>
      </c>
      <c r="AZ73" s="62">
        <v>1</v>
      </c>
      <c r="BA73" s="143">
        <v>7</v>
      </c>
      <c r="BB73" s="13">
        <f t="shared" ref="BB73:BB77" si="66">AY73+AZ73-BA73</f>
        <v>15</v>
      </c>
      <c r="BC73" s="62"/>
      <c r="BD73" s="143">
        <f>11</f>
        <v>11</v>
      </c>
      <c r="BE73" s="13">
        <f t="shared" ref="BE73:BE77" si="67">BB73+BC73-BD73</f>
        <v>4</v>
      </c>
      <c r="BF73" s="62"/>
      <c r="BG73" s="143"/>
      <c r="BH73" s="13">
        <f t="shared" ref="BH73:BH77" si="68">BE73+BF73-BG73</f>
        <v>4</v>
      </c>
      <c r="BI73" s="62">
        <v>28</v>
      </c>
      <c r="BJ73" s="143"/>
      <c r="BK73" s="13">
        <f t="shared" ref="BK73:BK77" si="69">BH73+BI73-BJ73</f>
        <v>32</v>
      </c>
      <c r="BL73" s="62"/>
      <c r="BM73" s="143">
        <v>13</v>
      </c>
      <c r="BN73" s="13">
        <f t="shared" ref="BN73:BN77" si="70">BK73+BL73-BM73</f>
        <v>19</v>
      </c>
      <c r="BO73" s="62"/>
      <c r="BP73" s="143"/>
      <c r="BQ73" s="13">
        <f t="shared" ref="BQ73:BQ77" si="71">BN73+BO73-BP73</f>
        <v>19</v>
      </c>
      <c r="BR73" s="62"/>
      <c r="BS73" s="143"/>
      <c r="BT73" s="13">
        <f t="shared" si="37"/>
        <v>19</v>
      </c>
      <c r="BU73" s="62"/>
      <c r="BV73" s="143"/>
      <c r="BW73" s="13">
        <f t="shared" ref="BW73:BW77" si="72">BT73+BU73-BV73</f>
        <v>19</v>
      </c>
      <c r="BX73" s="62"/>
      <c r="BY73" s="143"/>
      <c r="BZ73" s="13">
        <f t="shared" si="38"/>
        <v>19</v>
      </c>
      <c r="CA73" s="62">
        <v>32</v>
      </c>
      <c r="CB73" s="143">
        <f>9</f>
        <v>9</v>
      </c>
      <c r="CC73" s="13">
        <f t="shared" si="39"/>
        <v>42</v>
      </c>
      <c r="CD73" s="62"/>
      <c r="CE73" s="143">
        <f>20</f>
        <v>20</v>
      </c>
      <c r="CF73" s="13">
        <f t="shared" si="40"/>
        <v>22</v>
      </c>
      <c r="CG73" s="62"/>
      <c r="CH73" s="143"/>
      <c r="CI73" s="13">
        <f t="shared" si="46"/>
        <v>22</v>
      </c>
      <c r="CJ73" s="62"/>
      <c r="CK73" s="143"/>
      <c r="CL73" s="13">
        <f t="shared" si="47"/>
        <v>22</v>
      </c>
      <c r="CM73" s="62"/>
      <c r="CN73" s="143">
        <f>7</f>
        <v>7</v>
      </c>
      <c r="CO73" s="13">
        <f t="shared" si="41"/>
        <v>15</v>
      </c>
      <c r="CP73" s="62">
        <v>5</v>
      </c>
      <c r="CQ73" s="143">
        <f>10+2+3</f>
        <v>15</v>
      </c>
      <c r="CR73" s="13">
        <f t="shared" si="48"/>
        <v>5</v>
      </c>
      <c r="CS73" s="62"/>
      <c r="CT73" s="143"/>
      <c r="CU73" s="14">
        <f t="shared" si="42"/>
        <v>5</v>
      </c>
      <c r="CV73" s="5">
        <f t="shared" si="43"/>
        <v>182</v>
      </c>
      <c r="CW73" s="4">
        <f t="shared" si="43"/>
        <v>184</v>
      </c>
      <c r="CX73" s="6">
        <f t="shared" si="44"/>
        <v>5</v>
      </c>
      <c r="CY73" s="162">
        <v>197</v>
      </c>
      <c r="CZ73" s="171">
        <f t="shared" si="45"/>
        <v>985</v>
      </c>
      <c r="DB73" s="2">
        <f t="shared" si="49"/>
        <v>5</v>
      </c>
      <c r="DC73" s="62"/>
      <c r="DD73" s="143"/>
      <c r="DE73" s="149">
        <f t="shared" si="50"/>
        <v>5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1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1"/>
      <c r="AL74" s="143"/>
      <c r="AM74" s="13">
        <f t="shared" si="61"/>
        <v>0</v>
      </c>
      <c r="AN74" s="61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1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90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10</v>
      </c>
      <c r="G75" s="62">
        <f>-17+24</f>
        <v>7</v>
      </c>
      <c r="H75" s="143">
        <f>2+7+1</f>
        <v>10</v>
      </c>
      <c r="I75" s="13">
        <f t="shared" si="51"/>
        <v>7</v>
      </c>
      <c r="J75" s="62">
        <f>-21+30</f>
        <v>9</v>
      </c>
      <c r="K75" s="143">
        <f>2+5</f>
        <v>7</v>
      </c>
      <c r="L75" s="13">
        <f>I75+J75-K75</f>
        <v>9</v>
      </c>
      <c r="M75" s="62"/>
      <c r="N75" s="143"/>
      <c r="O75" s="13">
        <f t="shared" si="53"/>
        <v>9</v>
      </c>
      <c r="P75" s="62">
        <f>-9+18</f>
        <v>9</v>
      </c>
      <c r="Q75" s="143">
        <f>2+6+1</f>
        <v>9</v>
      </c>
      <c r="R75" s="30">
        <f t="shared" si="54"/>
        <v>9</v>
      </c>
      <c r="S75" s="62">
        <f>-12+20</f>
        <v>8</v>
      </c>
      <c r="T75" s="143">
        <f>2+7</f>
        <v>9</v>
      </c>
      <c r="U75" s="13">
        <f t="shared" si="55"/>
        <v>8</v>
      </c>
      <c r="V75" s="62">
        <f>-27+36</f>
        <v>9</v>
      </c>
      <c r="W75" s="143">
        <f>7+1</f>
        <v>8</v>
      </c>
      <c r="X75" s="13">
        <f t="shared" si="56"/>
        <v>9</v>
      </c>
      <c r="Y75" s="62"/>
      <c r="Z75" s="143"/>
      <c r="AA75" s="13">
        <f t="shared" si="57"/>
        <v>9</v>
      </c>
      <c r="AB75" s="62">
        <f>-13+24</f>
        <v>11</v>
      </c>
      <c r="AC75" s="143">
        <f>2+7</f>
        <v>9</v>
      </c>
      <c r="AD75" s="13">
        <f t="shared" si="58"/>
        <v>11</v>
      </c>
      <c r="AE75" s="61">
        <f>-29+38</f>
        <v>9</v>
      </c>
      <c r="AF75" s="143">
        <f>4+7</f>
        <v>11</v>
      </c>
      <c r="AG75" s="13">
        <f t="shared" si="59"/>
        <v>9</v>
      </c>
      <c r="AH75" s="62"/>
      <c r="AI75" s="143"/>
      <c r="AJ75" s="13">
        <f t="shared" si="60"/>
        <v>9</v>
      </c>
      <c r="AK75" s="61">
        <f>-10+18</f>
        <v>8</v>
      </c>
      <c r="AL75" s="143">
        <f>3+5+1</f>
        <v>9</v>
      </c>
      <c r="AM75" s="13">
        <f t="shared" si="61"/>
        <v>8</v>
      </c>
      <c r="AN75" s="61">
        <f>-22+40</f>
        <v>18</v>
      </c>
      <c r="AO75" s="143">
        <f>2+6</f>
        <v>8</v>
      </c>
      <c r="AP75" s="13">
        <f t="shared" si="62"/>
        <v>18</v>
      </c>
      <c r="AQ75" s="62">
        <f>-30+66</f>
        <v>36</v>
      </c>
      <c r="AR75" s="143">
        <f>5+13</f>
        <v>18</v>
      </c>
      <c r="AS75" s="13">
        <f t="shared" si="63"/>
        <v>36</v>
      </c>
      <c r="AT75" s="61"/>
      <c r="AU75" s="143"/>
      <c r="AV75" s="13">
        <f t="shared" si="64"/>
        <v>36</v>
      </c>
      <c r="AW75" s="62"/>
      <c r="AX75" s="143">
        <f>5+19+2</f>
        <v>26</v>
      </c>
      <c r="AY75" s="13">
        <f t="shared" si="65"/>
        <v>10</v>
      </c>
      <c r="AZ75" s="62">
        <f>-27+34</f>
        <v>7</v>
      </c>
      <c r="BA75" s="143">
        <f>5+5+2</f>
        <v>12</v>
      </c>
      <c r="BB75" s="13">
        <f t="shared" si="66"/>
        <v>5</v>
      </c>
      <c r="BC75" s="62"/>
      <c r="BD75" s="143"/>
      <c r="BE75" s="13">
        <f t="shared" si="67"/>
        <v>5</v>
      </c>
      <c r="BF75" s="62">
        <f>2-17+24</f>
        <v>9</v>
      </c>
      <c r="BG75" s="143">
        <f>1+3+1</f>
        <v>5</v>
      </c>
      <c r="BH75" s="13">
        <f t="shared" si="68"/>
        <v>9</v>
      </c>
      <c r="BI75" s="62">
        <f>-14+30</f>
        <v>16</v>
      </c>
      <c r="BJ75" s="143">
        <f>1+8</f>
        <v>9</v>
      </c>
      <c r="BK75" s="13">
        <f t="shared" si="69"/>
        <v>16</v>
      </c>
      <c r="BL75" s="62">
        <f>-20+28</f>
        <v>8</v>
      </c>
      <c r="BM75" s="143">
        <f>3+12+1</f>
        <v>16</v>
      </c>
      <c r="BN75" s="13">
        <f t="shared" si="70"/>
        <v>8</v>
      </c>
      <c r="BO75" s="62"/>
      <c r="BP75" s="143"/>
      <c r="BQ75" s="13">
        <f t="shared" si="71"/>
        <v>8</v>
      </c>
      <c r="BR75" s="62">
        <f>-22-3+74</f>
        <v>49</v>
      </c>
      <c r="BS75" s="143">
        <f>2+6</f>
        <v>8</v>
      </c>
      <c r="BT75" s="13">
        <f t="shared" si="37"/>
        <v>49</v>
      </c>
      <c r="BU75" s="62"/>
      <c r="BV75" s="143">
        <f>4+38</f>
        <v>42</v>
      </c>
      <c r="BW75" s="13">
        <f t="shared" si="72"/>
        <v>7</v>
      </c>
      <c r="BX75" s="62"/>
      <c r="BY75" s="143"/>
      <c r="BZ75" s="13">
        <f t="shared" si="38"/>
        <v>7</v>
      </c>
      <c r="CA75" s="62">
        <f>-23+30</f>
        <v>7</v>
      </c>
      <c r="CB75" s="143">
        <f>2+5</f>
        <v>7</v>
      </c>
      <c r="CC75" s="13">
        <f t="shared" si="39"/>
        <v>7</v>
      </c>
      <c r="CD75" s="62">
        <f>-6+22</f>
        <v>16</v>
      </c>
      <c r="CE75" s="143">
        <f>2+5</f>
        <v>7</v>
      </c>
      <c r="CF75" s="13">
        <f t="shared" si="40"/>
        <v>16</v>
      </c>
      <c r="CG75" s="62">
        <f>-31+38</f>
        <v>7</v>
      </c>
      <c r="CH75" s="143">
        <f>8+7+1</f>
        <v>16</v>
      </c>
      <c r="CI75" s="13">
        <f t="shared" si="46"/>
        <v>7</v>
      </c>
      <c r="CJ75" s="62"/>
      <c r="CK75" s="143"/>
      <c r="CL75" s="13">
        <f t="shared" si="47"/>
        <v>7</v>
      </c>
      <c r="CM75" s="62">
        <f>-7+12</f>
        <v>5</v>
      </c>
      <c r="CN75" s="143">
        <f>2+5</f>
        <v>7</v>
      </c>
      <c r="CO75" s="13">
        <f t="shared" si="41"/>
        <v>5</v>
      </c>
      <c r="CP75" s="62">
        <f>-20+24</f>
        <v>4</v>
      </c>
      <c r="CQ75" s="143">
        <f>2+3</f>
        <v>5</v>
      </c>
      <c r="CR75" s="13">
        <f t="shared" si="48"/>
        <v>4</v>
      </c>
      <c r="CS75" s="62"/>
      <c r="CT75" s="143"/>
      <c r="CU75" s="14">
        <f t="shared" si="42"/>
        <v>4</v>
      </c>
      <c r="CV75" s="5">
        <f t="shared" si="43"/>
        <v>252</v>
      </c>
      <c r="CW75" s="4">
        <f t="shared" si="43"/>
        <v>258</v>
      </c>
      <c r="CX75" s="6">
        <f t="shared" si="44"/>
        <v>4</v>
      </c>
      <c r="CY75" s="162">
        <v>650</v>
      </c>
      <c r="CZ75" s="171">
        <f t="shared" si="45"/>
        <v>2600</v>
      </c>
      <c r="DB75" s="2">
        <f t="shared" si="49"/>
        <v>4</v>
      </c>
      <c r="DC75" s="62"/>
      <c r="DD75" s="143"/>
      <c r="DE75" s="149">
        <f t="shared" si="50"/>
        <v>4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1"/>
      <c r="AL76" s="143"/>
      <c r="AM76" s="13">
        <f t="shared" si="61"/>
        <v>0</v>
      </c>
      <c r="AN76" s="62"/>
      <c r="AO76" s="143"/>
      <c r="AP76" s="13">
        <f t="shared" si="62"/>
        <v>0</v>
      </c>
      <c r="AQ76" s="61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/>
      <c r="BM76" s="143"/>
      <c r="BN76" s="13">
        <f t="shared" si="70"/>
        <v>0</v>
      </c>
      <c r="BO76" s="62"/>
      <c r="BP76" s="143"/>
      <c r="BQ76" s="13">
        <f t="shared" si="71"/>
        <v>0</v>
      </c>
      <c r="BR76" s="62"/>
      <c r="BS76" s="143"/>
      <c r="BT76" s="13">
        <f t="shared" si="37"/>
        <v>0</v>
      </c>
      <c r="BU76" s="62"/>
      <c r="BV76" s="143"/>
      <c r="BW76" s="13">
        <f t="shared" si="72"/>
        <v>0</v>
      </c>
      <c r="BX76" s="62"/>
      <c r="BY76" s="143"/>
      <c r="BZ76" s="13">
        <f t="shared" si="38"/>
        <v>0</v>
      </c>
      <c r="CA76" s="62"/>
      <c r="CB76" s="143"/>
      <c r="CC76" s="13">
        <f t="shared" si="39"/>
        <v>0</v>
      </c>
      <c r="CD76" s="62"/>
      <c r="CE76" s="143"/>
      <c r="CF76" s="13">
        <f t="shared" si="40"/>
        <v>0</v>
      </c>
      <c r="CG76" s="62"/>
      <c r="CH76" s="143"/>
      <c r="CI76" s="13">
        <f t="shared" si="46"/>
        <v>0</v>
      </c>
      <c r="CJ76" s="62"/>
      <c r="CK76" s="143"/>
      <c r="CL76" s="13">
        <f t="shared" si="47"/>
        <v>0</v>
      </c>
      <c r="CM76" s="62"/>
      <c r="CN76" s="143"/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0</v>
      </c>
      <c r="CW76" s="4">
        <f t="shared" si="43"/>
        <v>0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12</v>
      </c>
      <c r="G77" s="62">
        <f>36-6-17</f>
        <v>13</v>
      </c>
      <c r="H77" s="143">
        <v>9</v>
      </c>
      <c r="I77" s="13">
        <f>F77+G77-H77</f>
        <v>16</v>
      </c>
      <c r="J77" s="62">
        <v>36</v>
      </c>
      <c r="K77" s="143">
        <f>9+6</f>
        <v>15</v>
      </c>
      <c r="L77" s="13">
        <f t="shared" si="52"/>
        <v>37</v>
      </c>
      <c r="M77" s="62"/>
      <c r="N77" s="143">
        <f>11+6+17</f>
        <v>34</v>
      </c>
      <c r="O77" s="13">
        <f t="shared" si="53"/>
        <v>3</v>
      </c>
      <c r="P77" s="62">
        <f>36-9</f>
        <v>27</v>
      </c>
      <c r="Q77" s="143"/>
      <c r="R77" s="30">
        <f t="shared" si="54"/>
        <v>30</v>
      </c>
      <c r="S77" s="62"/>
      <c r="T77" s="143">
        <f>10+1</f>
        <v>11</v>
      </c>
      <c r="U77" s="13">
        <f>R77+S77-T77</f>
        <v>19</v>
      </c>
      <c r="V77" s="62"/>
      <c r="W77" s="143">
        <v>6</v>
      </c>
      <c r="X77" s="13">
        <f t="shared" si="56"/>
        <v>13</v>
      </c>
      <c r="Y77" s="62"/>
      <c r="Z77" s="143"/>
      <c r="AA77" s="13">
        <f t="shared" si="57"/>
        <v>13</v>
      </c>
      <c r="AB77" s="62">
        <v>36</v>
      </c>
      <c r="AC77" s="143">
        <f>3+6+23+2</f>
        <v>34</v>
      </c>
      <c r="AD77" s="13">
        <f t="shared" si="58"/>
        <v>15</v>
      </c>
      <c r="AE77" s="62"/>
      <c r="AF77" s="143">
        <f>9+6</f>
        <v>15</v>
      </c>
      <c r="AG77" s="13">
        <f t="shared" si="59"/>
        <v>0</v>
      </c>
      <c r="AH77" s="62">
        <f>-1+36</f>
        <v>35</v>
      </c>
      <c r="AI77" s="143">
        <f>9+6+4</f>
        <v>19</v>
      </c>
      <c r="AJ77" s="13">
        <f t="shared" si="60"/>
        <v>16</v>
      </c>
      <c r="AK77" s="61"/>
      <c r="AL77" s="143">
        <f>1+9</f>
        <v>10</v>
      </c>
      <c r="AM77" s="13">
        <f t="shared" si="61"/>
        <v>6</v>
      </c>
      <c r="AN77" s="62">
        <f>36-7</f>
        <v>29</v>
      </c>
      <c r="AO77" s="143">
        <f>2+1+1+2</f>
        <v>6</v>
      </c>
      <c r="AP77" s="13">
        <f t="shared" si="62"/>
        <v>29</v>
      </c>
      <c r="AQ77" s="61"/>
      <c r="AR77" s="143"/>
      <c r="AS77" s="13">
        <f t="shared" si="63"/>
        <v>29</v>
      </c>
      <c r="AT77" s="62"/>
      <c r="AU77" s="143"/>
      <c r="AV77" s="13">
        <f t="shared" si="64"/>
        <v>29</v>
      </c>
      <c r="AW77" s="62"/>
      <c r="AX77" s="143"/>
      <c r="AY77" s="13">
        <f t="shared" si="65"/>
        <v>29</v>
      </c>
      <c r="AZ77" s="62">
        <f>36-19+12</f>
        <v>29</v>
      </c>
      <c r="BA77" s="143">
        <f>5+6+6+12</f>
        <v>29</v>
      </c>
      <c r="BB77" s="13">
        <f t="shared" si="66"/>
        <v>29</v>
      </c>
      <c r="BC77" s="62">
        <v>36</v>
      </c>
      <c r="BD77" s="143">
        <f>11+6</f>
        <v>17</v>
      </c>
      <c r="BE77" s="13">
        <f t="shared" si="67"/>
        <v>48</v>
      </c>
      <c r="BF77" s="62"/>
      <c r="BG77" s="143">
        <f>9+1+8+2</f>
        <v>20</v>
      </c>
      <c r="BH77" s="13">
        <f t="shared" si="68"/>
        <v>28</v>
      </c>
      <c r="BI77" s="62"/>
      <c r="BJ77" s="143">
        <f>10+1+1</f>
        <v>12</v>
      </c>
      <c r="BK77" s="13">
        <f t="shared" si="69"/>
        <v>16</v>
      </c>
      <c r="BL77" s="62"/>
      <c r="BM77" s="143">
        <f>6</f>
        <v>6</v>
      </c>
      <c r="BN77" s="13">
        <f t="shared" si="70"/>
        <v>10</v>
      </c>
      <c r="BO77" s="62"/>
      <c r="BP77" s="143"/>
      <c r="BQ77" s="13">
        <f t="shared" si="71"/>
        <v>10</v>
      </c>
      <c r="BR77" s="62">
        <f>-7+36</f>
        <v>29</v>
      </c>
      <c r="BS77" s="143">
        <f>4+1</f>
        <v>5</v>
      </c>
      <c r="BT77" s="13">
        <f t="shared" si="37"/>
        <v>34</v>
      </c>
      <c r="BU77" s="62"/>
      <c r="BV77" s="143"/>
      <c r="BW77" s="13">
        <f t="shared" si="72"/>
        <v>34</v>
      </c>
      <c r="BX77" s="62"/>
      <c r="BY77" s="143">
        <f>9+6+6+12</f>
        <v>33</v>
      </c>
      <c r="BZ77" s="13">
        <f t="shared" si="38"/>
        <v>1</v>
      </c>
      <c r="CA77" s="62">
        <f>-9+36</f>
        <v>27</v>
      </c>
      <c r="CB77" s="143">
        <f>1</f>
        <v>1</v>
      </c>
      <c r="CC77" s="13">
        <f t="shared" si="39"/>
        <v>27</v>
      </c>
      <c r="CD77" s="62"/>
      <c r="CE77" s="143">
        <f>9+1+1+2</f>
        <v>13</v>
      </c>
      <c r="CF77" s="13">
        <f t="shared" si="40"/>
        <v>14</v>
      </c>
      <c r="CG77" s="62"/>
      <c r="CH77" s="143">
        <f>6</f>
        <v>6</v>
      </c>
      <c r="CI77" s="13">
        <f t="shared" si="46"/>
        <v>8</v>
      </c>
      <c r="CJ77" s="62"/>
      <c r="CK77" s="143"/>
      <c r="CL77" s="13">
        <f t="shared" si="47"/>
        <v>8</v>
      </c>
      <c r="CM77" s="62">
        <f>36-15-6</f>
        <v>15</v>
      </c>
      <c r="CN77" s="143">
        <f>3</f>
        <v>3</v>
      </c>
      <c r="CO77" s="13">
        <f t="shared" si="41"/>
        <v>20</v>
      </c>
      <c r="CP77" s="62">
        <v>36</v>
      </c>
      <c r="CQ77" s="143">
        <f>9+8+25+2</f>
        <v>44</v>
      </c>
      <c r="CR77" s="13">
        <f t="shared" si="48"/>
        <v>12</v>
      </c>
      <c r="CS77" s="62"/>
      <c r="CT77" s="143"/>
      <c r="CU77" s="14">
        <f t="shared" si="42"/>
        <v>12</v>
      </c>
      <c r="CV77" s="5">
        <f t="shared" si="43"/>
        <v>348</v>
      </c>
      <c r="CW77" s="4">
        <f t="shared" si="43"/>
        <v>348</v>
      </c>
      <c r="CX77" s="6">
        <f t="shared" si="44"/>
        <v>12</v>
      </c>
      <c r="CY77" s="162">
        <v>205</v>
      </c>
      <c r="CZ77" s="171">
        <f t="shared" si="45"/>
        <v>2460</v>
      </c>
      <c r="DB77" s="2">
        <f t="shared" si="49"/>
        <v>12</v>
      </c>
      <c r="DC77" s="62"/>
      <c r="DD77" s="143"/>
      <c r="DE77" s="149">
        <f t="shared" si="50"/>
        <v>12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1"/>
      <c r="AL78" s="143"/>
      <c r="AM78" s="13">
        <f>AJ78+AK78-AL78</f>
        <v>0</v>
      </c>
      <c r="AN78" s="62"/>
      <c r="AO78" s="143"/>
      <c r="AP78" s="13">
        <f>AM78+AN78-AO78</f>
        <v>0</v>
      </c>
      <c r="AQ78" s="61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/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1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/>
      <c r="E80" s="37">
        <v>6</v>
      </c>
      <c r="F80" s="14">
        <v>3</v>
      </c>
      <c r="G80" s="62"/>
      <c r="H80" s="143"/>
      <c r="I80" s="13">
        <f t="shared" si="73"/>
        <v>3</v>
      </c>
      <c r="J80" s="62">
        <v>12</v>
      </c>
      <c r="K80" s="143"/>
      <c r="L80" s="13">
        <f t="shared" si="74"/>
        <v>15</v>
      </c>
      <c r="M80" s="62"/>
      <c r="N80" s="143"/>
      <c r="O80" s="13">
        <f t="shared" si="75"/>
        <v>15</v>
      </c>
      <c r="P80" s="62"/>
      <c r="Q80" s="143">
        <f>3</f>
        <v>3</v>
      </c>
      <c r="R80" s="30">
        <f t="shared" si="76"/>
        <v>12</v>
      </c>
      <c r="S80" s="62"/>
      <c r="T80" s="143">
        <f>4+3+4</f>
        <v>11</v>
      </c>
      <c r="U80" s="13">
        <f t="shared" si="77"/>
        <v>1</v>
      </c>
      <c r="V80" s="62"/>
      <c r="W80" s="143"/>
      <c r="X80" s="30">
        <f t="shared" si="78"/>
        <v>1</v>
      </c>
      <c r="Y80" s="62"/>
      <c r="Z80" s="143"/>
      <c r="AA80" s="13">
        <f t="shared" si="79"/>
        <v>1</v>
      </c>
      <c r="AB80" s="62"/>
      <c r="AC80" s="143"/>
      <c r="AD80" s="13">
        <f t="shared" si="80"/>
        <v>1</v>
      </c>
      <c r="AE80" s="62">
        <v>18</v>
      </c>
      <c r="AF80" s="143"/>
      <c r="AG80" s="13">
        <f t="shared" si="81"/>
        <v>19</v>
      </c>
      <c r="AH80" s="62"/>
      <c r="AI80" s="143"/>
      <c r="AJ80" s="13">
        <f t="shared" si="82"/>
        <v>19</v>
      </c>
      <c r="AK80" s="62"/>
      <c r="AL80" s="143">
        <v>3</v>
      </c>
      <c r="AM80" s="13">
        <f t="shared" si="83"/>
        <v>16</v>
      </c>
      <c r="AN80" s="62"/>
      <c r="AO80" s="143">
        <f>4+3+3</f>
        <v>10</v>
      </c>
      <c r="AP80" s="13">
        <f t="shared" si="84"/>
        <v>6</v>
      </c>
      <c r="AQ80" s="61"/>
      <c r="AR80" s="143"/>
      <c r="AS80" s="13">
        <f t="shared" si="85"/>
        <v>6</v>
      </c>
      <c r="AT80" s="62"/>
      <c r="AU80" s="143"/>
      <c r="AV80" s="13">
        <f t="shared" si="86"/>
        <v>6</v>
      </c>
      <c r="AW80" s="62"/>
      <c r="AX80" s="143"/>
      <c r="AY80" s="13">
        <f t="shared" si="87"/>
        <v>6</v>
      </c>
      <c r="AZ80" s="62"/>
      <c r="BA80" s="143"/>
      <c r="BB80" s="13">
        <f t="shared" si="88"/>
        <v>6</v>
      </c>
      <c r="BC80" s="62"/>
      <c r="BD80" s="143"/>
      <c r="BE80" s="13">
        <f t="shared" si="89"/>
        <v>6</v>
      </c>
      <c r="BF80" s="62">
        <v>12</v>
      </c>
      <c r="BG80" s="143">
        <v>3</v>
      </c>
      <c r="BH80" s="13">
        <f t="shared" si="90"/>
        <v>15</v>
      </c>
      <c r="BI80" s="62"/>
      <c r="BJ80" s="143">
        <f>3+4+3</f>
        <v>10</v>
      </c>
      <c r="BK80" s="13">
        <f t="shared" si="91"/>
        <v>5</v>
      </c>
      <c r="BL80" s="62"/>
      <c r="BM80" s="143"/>
      <c r="BN80" s="13">
        <f t="shared" si="92"/>
        <v>5</v>
      </c>
      <c r="BO80" s="62"/>
      <c r="BP80" s="143"/>
      <c r="BQ80" s="13">
        <f t="shared" si="93"/>
        <v>5</v>
      </c>
      <c r="BR80" s="62"/>
      <c r="BS80" s="143"/>
      <c r="BT80" s="13">
        <f t="shared" si="37"/>
        <v>5</v>
      </c>
      <c r="BU80" s="62"/>
      <c r="BV80" s="143"/>
      <c r="BW80" s="13">
        <f t="shared" si="94"/>
        <v>5</v>
      </c>
      <c r="BX80" s="62">
        <v>18</v>
      </c>
      <c r="BY80" s="143"/>
      <c r="BZ80" s="13">
        <f t="shared" si="38"/>
        <v>23</v>
      </c>
      <c r="CA80" s="62"/>
      <c r="CB80" s="143">
        <f>3</f>
        <v>3</v>
      </c>
      <c r="CC80" s="13">
        <f t="shared" si="39"/>
        <v>20</v>
      </c>
      <c r="CD80" s="62"/>
      <c r="CE80" s="143">
        <f>4+6+4</f>
        <v>14</v>
      </c>
      <c r="CF80" s="13">
        <f t="shared" si="40"/>
        <v>6</v>
      </c>
      <c r="CG80" s="62"/>
      <c r="CH80" s="143"/>
      <c r="CI80" s="13">
        <f t="shared" si="46"/>
        <v>6</v>
      </c>
      <c r="CJ80" s="62"/>
      <c r="CK80" s="143"/>
      <c r="CL80" s="13">
        <f t="shared" si="47"/>
        <v>6</v>
      </c>
      <c r="CM80" s="62"/>
      <c r="CN80" s="143"/>
      <c r="CO80" s="13">
        <f t="shared" si="41"/>
        <v>6</v>
      </c>
      <c r="CP80" s="62">
        <v>12</v>
      </c>
      <c r="CQ80" s="143"/>
      <c r="CR80" s="13">
        <f t="shared" si="48"/>
        <v>18</v>
      </c>
      <c r="CS80" s="62"/>
      <c r="CT80" s="143"/>
      <c r="CU80" s="14">
        <f t="shared" si="42"/>
        <v>18</v>
      </c>
      <c r="CV80" s="5">
        <f t="shared" si="43"/>
        <v>72</v>
      </c>
      <c r="CW80" s="4">
        <f t="shared" si="43"/>
        <v>57</v>
      </c>
      <c r="CX80" s="6">
        <f t="shared" si="95"/>
        <v>18</v>
      </c>
      <c r="CY80" s="162">
        <v>3050</v>
      </c>
      <c r="CZ80" s="171">
        <f t="shared" si="45"/>
        <v>54900</v>
      </c>
      <c r="DB80" s="2">
        <f t="shared" si="49"/>
        <v>18</v>
      </c>
      <c r="DC80" s="62"/>
      <c r="DD80" s="143"/>
      <c r="DE80" s="149">
        <f t="shared" si="50"/>
        <v>18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34</v>
      </c>
      <c r="G81" s="62"/>
      <c r="H81" s="143">
        <v>4</v>
      </c>
      <c r="I81" s="13">
        <f t="shared" si="73"/>
        <v>30</v>
      </c>
      <c r="J81" s="62"/>
      <c r="K81" s="143">
        <v>5</v>
      </c>
      <c r="L81" s="13">
        <f t="shared" si="74"/>
        <v>25</v>
      </c>
      <c r="M81" s="62"/>
      <c r="N81" s="143"/>
      <c r="O81" s="13">
        <f t="shared" si="75"/>
        <v>25</v>
      </c>
      <c r="P81" s="62">
        <v>28</v>
      </c>
      <c r="Q81" s="143">
        <v>3</v>
      </c>
      <c r="R81" s="13">
        <f t="shared" si="76"/>
        <v>50</v>
      </c>
      <c r="S81" s="62"/>
      <c r="T81" s="143">
        <v>2</v>
      </c>
      <c r="U81" s="13">
        <f t="shared" si="77"/>
        <v>48</v>
      </c>
      <c r="V81" s="62"/>
      <c r="W81" s="143">
        <v>3</v>
      </c>
      <c r="X81" s="13">
        <f t="shared" si="78"/>
        <v>45</v>
      </c>
      <c r="Y81" s="62"/>
      <c r="Z81" s="143"/>
      <c r="AA81" s="13">
        <f t="shared" si="79"/>
        <v>45</v>
      </c>
      <c r="AB81" s="62"/>
      <c r="AC81" s="143">
        <v>5</v>
      </c>
      <c r="AD81" s="13">
        <f t="shared" si="80"/>
        <v>40</v>
      </c>
      <c r="AE81" s="62"/>
      <c r="AF81" s="143">
        <v>6</v>
      </c>
      <c r="AG81" s="13">
        <f t="shared" si="81"/>
        <v>34</v>
      </c>
      <c r="AH81" s="62"/>
      <c r="AI81" s="143"/>
      <c r="AJ81" s="13">
        <f t="shared" si="82"/>
        <v>34</v>
      </c>
      <c r="AK81" s="62">
        <v>28</v>
      </c>
      <c r="AL81" s="143">
        <v>4</v>
      </c>
      <c r="AM81" s="13">
        <f t="shared" si="83"/>
        <v>58</v>
      </c>
      <c r="AN81" s="62"/>
      <c r="AO81" s="143">
        <v>4</v>
      </c>
      <c r="AP81" s="13">
        <f t="shared" si="84"/>
        <v>54</v>
      </c>
      <c r="AQ81" s="62"/>
      <c r="AR81" s="143">
        <v>6</v>
      </c>
      <c r="AS81" s="13">
        <f t="shared" si="85"/>
        <v>48</v>
      </c>
      <c r="AT81" s="62"/>
      <c r="AU81" s="143"/>
      <c r="AV81" s="13">
        <f t="shared" si="86"/>
        <v>48</v>
      </c>
      <c r="AW81" s="62"/>
      <c r="AX81" s="143">
        <v>3</v>
      </c>
      <c r="AY81" s="13">
        <f t="shared" si="87"/>
        <v>45</v>
      </c>
      <c r="AZ81" s="62"/>
      <c r="BA81" s="143">
        <v>7</v>
      </c>
      <c r="BB81" s="13">
        <f t="shared" si="88"/>
        <v>38</v>
      </c>
      <c r="BC81" s="62"/>
      <c r="BD81" s="143"/>
      <c r="BE81" s="13">
        <f t="shared" si="89"/>
        <v>38</v>
      </c>
      <c r="BF81" s="62">
        <v>28</v>
      </c>
      <c r="BG81" s="143">
        <v>5</v>
      </c>
      <c r="BH81" s="13">
        <f t="shared" si="90"/>
        <v>61</v>
      </c>
      <c r="BI81" s="62"/>
      <c r="BJ81" s="143">
        <v>2</v>
      </c>
      <c r="BK81" s="13">
        <f t="shared" si="91"/>
        <v>59</v>
      </c>
      <c r="BL81" s="62"/>
      <c r="BM81" s="143">
        <v>3</v>
      </c>
      <c r="BN81" s="13">
        <f t="shared" si="92"/>
        <v>56</v>
      </c>
      <c r="BO81" s="62"/>
      <c r="BP81" s="143"/>
      <c r="BQ81" s="13">
        <f t="shared" si="93"/>
        <v>56</v>
      </c>
      <c r="BR81" s="62"/>
      <c r="BS81" s="143">
        <v>3</v>
      </c>
      <c r="BT81" s="13">
        <f t="shared" si="37"/>
        <v>53</v>
      </c>
      <c r="BU81" s="62"/>
      <c r="BV81" s="143">
        <v>9</v>
      </c>
      <c r="BW81" s="13">
        <f t="shared" si="94"/>
        <v>44</v>
      </c>
      <c r="BX81" s="62"/>
      <c r="BY81" s="143"/>
      <c r="BZ81" s="13">
        <f t="shared" si="38"/>
        <v>44</v>
      </c>
      <c r="CA81" s="62">
        <v>28</v>
      </c>
      <c r="CB81" s="143">
        <v>3</v>
      </c>
      <c r="CC81" s="13">
        <f t="shared" si="39"/>
        <v>69</v>
      </c>
      <c r="CD81" s="62"/>
      <c r="CE81" s="143">
        <v>4</v>
      </c>
      <c r="CF81" s="13">
        <f t="shared" si="40"/>
        <v>65</v>
      </c>
      <c r="CG81" s="62"/>
      <c r="CH81" s="143">
        <v>8</v>
      </c>
      <c r="CI81" s="13">
        <f t="shared" si="46"/>
        <v>57</v>
      </c>
      <c r="CJ81" s="62"/>
      <c r="CK81" s="143"/>
      <c r="CL81" s="13">
        <f t="shared" si="47"/>
        <v>57</v>
      </c>
      <c r="CM81" s="62"/>
      <c r="CN81" s="143">
        <v>5</v>
      </c>
      <c r="CO81" s="13">
        <f t="shared" si="41"/>
        <v>52</v>
      </c>
      <c r="CP81" s="62"/>
      <c r="CQ81" s="143">
        <v>7</v>
      </c>
      <c r="CR81" s="13">
        <f t="shared" si="48"/>
        <v>45</v>
      </c>
      <c r="CS81" s="62"/>
      <c r="CT81" s="143"/>
      <c r="CU81" s="14">
        <f t="shared" si="42"/>
        <v>45</v>
      </c>
      <c r="CV81" s="5">
        <f t="shared" si="43"/>
        <v>112</v>
      </c>
      <c r="CW81" s="4">
        <f t="shared" si="43"/>
        <v>101</v>
      </c>
      <c r="CX81" s="6">
        <f t="shared" si="95"/>
        <v>45</v>
      </c>
      <c r="CY81" s="162"/>
      <c r="CZ81" s="171">
        <f t="shared" si="45"/>
        <v>0</v>
      </c>
      <c r="DB81" s="2">
        <f t="shared" si="49"/>
        <v>45</v>
      </c>
      <c r="DC81" s="62"/>
      <c r="DD81" s="143"/>
      <c r="DE81" s="149">
        <f t="shared" si="50"/>
        <v>45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6</v>
      </c>
      <c r="G82" s="62">
        <v>6</v>
      </c>
      <c r="H82" s="143">
        <v>2</v>
      </c>
      <c r="I82" s="13">
        <f t="shared" si="73"/>
        <v>10</v>
      </c>
      <c r="J82" s="62"/>
      <c r="K82" s="143">
        <v>1</v>
      </c>
      <c r="L82" s="13">
        <f t="shared" si="74"/>
        <v>9</v>
      </c>
      <c r="M82" s="62"/>
      <c r="N82" s="143"/>
      <c r="O82" s="13">
        <f t="shared" si="75"/>
        <v>9</v>
      </c>
      <c r="P82" s="62"/>
      <c r="Q82" s="143">
        <v>1</v>
      </c>
      <c r="R82" s="30">
        <f t="shared" si="76"/>
        <v>8</v>
      </c>
      <c r="S82" s="62"/>
      <c r="T82" s="143">
        <v>3</v>
      </c>
      <c r="U82" s="13">
        <f t="shared" si="77"/>
        <v>5</v>
      </c>
      <c r="V82" s="62">
        <v>6</v>
      </c>
      <c r="W82" s="143">
        <v>2</v>
      </c>
      <c r="X82" s="13">
        <f t="shared" si="78"/>
        <v>9</v>
      </c>
      <c r="Y82" s="62"/>
      <c r="Z82" s="143"/>
      <c r="AA82" s="13">
        <f t="shared" si="79"/>
        <v>9</v>
      </c>
      <c r="AB82" s="62"/>
      <c r="AC82" s="143">
        <v>2</v>
      </c>
      <c r="AD82" s="13">
        <f t="shared" si="80"/>
        <v>7</v>
      </c>
      <c r="AE82" s="62"/>
      <c r="AF82" s="143"/>
      <c r="AG82" s="13">
        <f t="shared" si="81"/>
        <v>7</v>
      </c>
      <c r="AH82" s="62"/>
      <c r="AI82" s="143"/>
      <c r="AJ82" s="13">
        <f t="shared" si="82"/>
        <v>7</v>
      </c>
      <c r="AK82" s="62"/>
      <c r="AL82" s="143">
        <v>3</v>
      </c>
      <c r="AM82" s="13">
        <f t="shared" si="83"/>
        <v>4</v>
      </c>
      <c r="AN82" s="62">
        <v>6</v>
      </c>
      <c r="AO82" s="143">
        <v>2</v>
      </c>
      <c r="AP82" s="13">
        <f t="shared" si="84"/>
        <v>8</v>
      </c>
      <c r="AQ82" s="62"/>
      <c r="AR82" s="143">
        <v>3</v>
      </c>
      <c r="AS82" s="13">
        <f t="shared" si="85"/>
        <v>5</v>
      </c>
      <c r="AT82" s="62"/>
      <c r="AU82" s="143"/>
      <c r="AV82" s="13">
        <f t="shared" si="86"/>
        <v>5</v>
      </c>
      <c r="AW82" s="62">
        <v>6</v>
      </c>
      <c r="AX82" s="143"/>
      <c r="AY82" s="13">
        <f t="shared" si="87"/>
        <v>11</v>
      </c>
      <c r="AZ82" s="62"/>
      <c r="BA82" s="143">
        <v>3</v>
      </c>
      <c r="BB82" s="13">
        <f t="shared" si="88"/>
        <v>8</v>
      </c>
      <c r="BC82" s="62"/>
      <c r="BD82" s="143"/>
      <c r="BE82" s="13">
        <f t="shared" si="89"/>
        <v>8</v>
      </c>
      <c r="BF82" s="62">
        <v>6</v>
      </c>
      <c r="BG82" s="143">
        <v>3</v>
      </c>
      <c r="BH82" s="13">
        <f t="shared" si="90"/>
        <v>11</v>
      </c>
      <c r="BI82" s="62"/>
      <c r="BJ82" s="143">
        <f>1</f>
        <v>1</v>
      </c>
      <c r="BK82" s="13">
        <f t="shared" si="91"/>
        <v>10</v>
      </c>
      <c r="BL82" s="62"/>
      <c r="BM82" s="143">
        <v>3</v>
      </c>
      <c r="BN82" s="13">
        <f t="shared" si="92"/>
        <v>7</v>
      </c>
      <c r="BO82" s="62"/>
      <c r="BP82" s="143"/>
      <c r="BQ82" s="13">
        <f t="shared" si="93"/>
        <v>7</v>
      </c>
      <c r="BR82" s="62">
        <v>6</v>
      </c>
      <c r="BS82" s="143">
        <v>2</v>
      </c>
      <c r="BT82" s="13">
        <f t="shared" si="37"/>
        <v>11</v>
      </c>
      <c r="BU82" s="62"/>
      <c r="BV82" s="143"/>
      <c r="BW82" s="13">
        <f t="shared" si="94"/>
        <v>11</v>
      </c>
      <c r="BX82" s="62"/>
      <c r="BY82" s="143"/>
      <c r="BZ82" s="13">
        <f t="shared" si="38"/>
        <v>11</v>
      </c>
      <c r="CA82" s="62"/>
      <c r="CB82" s="143">
        <v>2</v>
      </c>
      <c r="CC82" s="13">
        <f t="shared" si="39"/>
        <v>9</v>
      </c>
      <c r="CD82" s="62"/>
      <c r="CE82" s="143">
        <v>1</v>
      </c>
      <c r="CF82" s="13">
        <f t="shared" si="40"/>
        <v>8</v>
      </c>
      <c r="CG82" s="62">
        <v>6</v>
      </c>
      <c r="CH82" s="143">
        <v>4</v>
      </c>
      <c r="CI82" s="13">
        <f t="shared" si="46"/>
        <v>10</v>
      </c>
      <c r="CJ82" s="62"/>
      <c r="CK82" s="143"/>
      <c r="CL82" s="13">
        <f t="shared" si="47"/>
        <v>10</v>
      </c>
      <c r="CM82" s="62"/>
      <c r="CN82" s="143">
        <v>1</v>
      </c>
      <c r="CO82" s="13">
        <f t="shared" si="41"/>
        <v>9</v>
      </c>
      <c r="CP82" s="62"/>
      <c r="CQ82" s="143">
        <v>4</v>
      </c>
      <c r="CR82" s="13">
        <f t="shared" si="48"/>
        <v>5</v>
      </c>
      <c r="CS82" s="62"/>
      <c r="CT82" s="143"/>
      <c r="CU82" s="14">
        <f t="shared" si="42"/>
        <v>5</v>
      </c>
      <c r="CV82" s="129">
        <f t="shared" si="43"/>
        <v>42</v>
      </c>
      <c r="CW82" s="130">
        <f t="shared" si="43"/>
        <v>43</v>
      </c>
      <c r="CX82" s="131">
        <f t="shared" si="95"/>
        <v>5</v>
      </c>
      <c r="CY82" s="163">
        <v>0</v>
      </c>
      <c r="CZ82" s="172">
        <f t="shared" si="45"/>
        <v>0</v>
      </c>
      <c r="DB82" s="2">
        <f t="shared" si="49"/>
        <v>5</v>
      </c>
      <c r="DC82" s="62"/>
      <c r="DD82" s="143"/>
      <c r="DE82" s="149">
        <f t="shared" si="50"/>
        <v>5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70</v>
      </c>
      <c r="G83" s="62">
        <v>48</v>
      </c>
      <c r="H83" s="143">
        <v>22</v>
      </c>
      <c r="I83" s="13">
        <f t="shared" si="73"/>
        <v>96</v>
      </c>
      <c r="J83" s="62"/>
      <c r="K83" s="143">
        <f>3+13</f>
        <v>16</v>
      </c>
      <c r="L83" s="13">
        <f t="shared" si="74"/>
        <v>80</v>
      </c>
      <c r="M83" s="62"/>
      <c r="N83" s="143"/>
      <c r="O83" s="13">
        <f t="shared" si="75"/>
        <v>80</v>
      </c>
      <c r="P83" s="62"/>
      <c r="Q83" s="143">
        <f>2+11</f>
        <v>13</v>
      </c>
      <c r="R83" s="30">
        <f t="shared" si="76"/>
        <v>67</v>
      </c>
      <c r="S83" s="62"/>
      <c r="T83" s="143">
        <f>2+17</f>
        <v>19</v>
      </c>
      <c r="U83" s="13">
        <f t="shared" si="77"/>
        <v>48</v>
      </c>
      <c r="V83" s="62">
        <v>48</v>
      </c>
      <c r="W83" s="143">
        <f>2+17</f>
        <v>19</v>
      </c>
      <c r="X83" s="13">
        <f>U83+V83-W83</f>
        <v>77</v>
      </c>
      <c r="Y83" s="62"/>
      <c r="Z83" s="143"/>
      <c r="AA83" s="13">
        <f t="shared" si="79"/>
        <v>77</v>
      </c>
      <c r="AB83" s="62"/>
      <c r="AC83" s="143">
        <v>9</v>
      </c>
      <c r="AD83" s="13">
        <f t="shared" si="80"/>
        <v>68</v>
      </c>
      <c r="AE83" s="62">
        <v>24</v>
      </c>
      <c r="AF83" s="143">
        <v>12</v>
      </c>
      <c r="AG83" s="13">
        <f t="shared" si="81"/>
        <v>80</v>
      </c>
      <c r="AH83" s="62"/>
      <c r="AI83" s="143"/>
      <c r="AJ83" s="13">
        <f t="shared" si="82"/>
        <v>80</v>
      </c>
      <c r="AK83" s="62"/>
      <c r="AL83" s="143">
        <f>2+18</f>
        <v>20</v>
      </c>
      <c r="AM83" s="13">
        <f t="shared" si="83"/>
        <v>60</v>
      </c>
      <c r="AN83" s="62"/>
      <c r="AO83" s="143">
        <v>14</v>
      </c>
      <c r="AP83" s="13">
        <f t="shared" si="84"/>
        <v>46</v>
      </c>
      <c r="AQ83" s="62"/>
      <c r="AR83" s="143">
        <v>14</v>
      </c>
      <c r="AS83" s="13">
        <f t="shared" si="85"/>
        <v>32</v>
      </c>
      <c r="AT83" s="62"/>
      <c r="AU83" s="143"/>
      <c r="AV83" s="13">
        <f t="shared" si="86"/>
        <v>32</v>
      </c>
      <c r="AW83" s="62">
        <v>48</v>
      </c>
      <c r="AX83" s="143">
        <v>8</v>
      </c>
      <c r="AY83" s="13">
        <f t="shared" si="87"/>
        <v>72</v>
      </c>
      <c r="AZ83" s="62"/>
      <c r="BA83" s="143">
        <v>24</v>
      </c>
      <c r="BB83" s="13">
        <f t="shared" si="88"/>
        <v>48</v>
      </c>
      <c r="BC83" s="62"/>
      <c r="BD83" s="143"/>
      <c r="BE83" s="13">
        <f t="shared" si="89"/>
        <v>48</v>
      </c>
      <c r="BF83" s="62">
        <v>48</v>
      </c>
      <c r="BG83" s="143">
        <f>3+14</f>
        <v>17</v>
      </c>
      <c r="BH83" s="13">
        <f t="shared" si="90"/>
        <v>79</v>
      </c>
      <c r="BI83" s="62">
        <v>24</v>
      </c>
      <c r="BJ83" s="143">
        <v>23</v>
      </c>
      <c r="BK83" s="13">
        <f t="shared" si="91"/>
        <v>80</v>
      </c>
      <c r="BL83" s="62"/>
      <c r="BM83" s="143">
        <f>2+26</f>
        <v>28</v>
      </c>
      <c r="BN83" s="13">
        <f t="shared" si="92"/>
        <v>52</v>
      </c>
      <c r="BO83" s="62"/>
      <c r="BP83" s="143"/>
      <c r="BQ83" s="13">
        <f t="shared" si="93"/>
        <v>52</v>
      </c>
      <c r="BR83" s="62">
        <v>24</v>
      </c>
      <c r="BS83" s="143">
        <f>2+9</f>
        <v>11</v>
      </c>
      <c r="BT83" s="13">
        <f t="shared" si="37"/>
        <v>65</v>
      </c>
      <c r="BU83" s="62"/>
      <c r="BV83" s="143">
        <v>26</v>
      </c>
      <c r="BW83" s="13">
        <f t="shared" si="94"/>
        <v>39</v>
      </c>
      <c r="BX83" s="62"/>
      <c r="BY83" s="143"/>
      <c r="BZ83" s="13">
        <f t="shared" si="38"/>
        <v>39</v>
      </c>
      <c r="CA83" s="62">
        <v>72</v>
      </c>
      <c r="CB83" s="143">
        <v>22</v>
      </c>
      <c r="CC83" s="13">
        <f t="shared" si="39"/>
        <v>89</v>
      </c>
      <c r="CD83" s="62"/>
      <c r="CE83" s="143">
        <f>6+4</f>
        <v>10</v>
      </c>
      <c r="CF83" s="13">
        <f t="shared" si="40"/>
        <v>79</v>
      </c>
      <c r="CG83" s="62"/>
      <c r="CH83" s="143">
        <f>8+18</f>
        <v>26</v>
      </c>
      <c r="CI83" s="13">
        <f t="shared" si="46"/>
        <v>53</v>
      </c>
      <c r="CJ83" s="62"/>
      <c r="CK83" s="143"/>
      <c r="CL83" s="13">
        <f t="shared" si="47"/>
        <v>53</v>
      </c>
      <c r="CM83" s="62">
        <v>24</v>
      </c>
      <c r="CN83" s="143">
        <f>2+19</f>
        <v>21</v>
      </c>
      <c r="CO83" s="13">
        <f t="shared" si="41"/>
        <v>56</v>
      </c>
      <c r="CP83" s="62"/>
      <c r="CQ83" s="143">
        <v>9</v>
      </c>
      <c r="CR83" s="13">
        <f t="shared" si="48"/>
        <v>47</v>
      </c>
      <c r="CS83" s="62"/>
      <c r="CT83" s="143"/>
      <c r="CU83" s="14">
        <f t="shared" si="42"/>
        <v>47</v>
      </c>
      <c r="CV83" s="5">
        <f>G83+J83+M83+P83+S83+V83+Y83+AB83+AE83+AH83+AK83+AN83+AQ83+AT83+AW83+AZ83+BC83+BF83+BI83+BL83+BO83+BR83+BU83+BX83+CA83+CD83+CG83+CJ83+CM83+CP83+CS83</f>
        <v>360</v>
      </c>
      <c r="CW83" s="4">
        <f>H83+K83+N83+Q83+T83+W83+Z83+AC83+AF83+AI83+AL83+AO83+AR83+AU83+AX83+BA83+BD83+BG83+BJ83+BM83+BP83+BS83+BV83+BY83+CB83+CE83+CH83+CK83+CN83+CQ83+CT83</f>
        <v>383</v>
      </c>
      <c r="CX83" s="6">
        <f t="shared" si="95"/>
        <v>47</v>
      </c>
      <c r="CY83" s="164">
        <v>0</v>
      </c>
      <c r="CZ83" s="171">
        <f t="shared" si="45"/>
        <v>0</v>
      </c>
      <c r="DB83" s="2">
        <f t="shared" si="49"/>
        <v>47</v>
      </c>
      <c r="DC83" s="62"/>
      <c r="DD83" s="143"/>
      <c r="DE83" s="149">
        <f t="shared" si="50"/>
        <v>47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143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143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143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143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143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143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143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143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143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143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244973.5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264571.38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24A5F-E7CC-49DB-A3FB-891C5F92114E}">
  <sheetPr codeName="Sheet43">
    <tabColor rgb="FF00B0F0"/>
    <pageSetUpPr fitToPage="1"/>
  </sheetPr>
  <dimension ref="A1:DE133"/>
  <sheetViews>
    <sheetView zoomScale="160" zoomScaleNormal="160" workbookViewId="0">
      <pane xSplit="5" ySplit="4" topLeftCell="CR92" activePane="bottomRight" state="frozen"/>
      <selection pane="topRight" activeCell="F1" sqref="F1"/>
      <selection pane="bottomLeft" activeCell="A5" sqref="A5"/>
      <selection pane="bottomRight" activeCell="BS26" sqref="BS26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customWidth="1"/>
    <col min="7" max="8" width="5" style="19" customWidth="1"/>
    <col min="9" max="9" width="5" style="10" customWidth="1"/>
    <col min="10" max="11" width="5" style="19" customWidth="1"/>
    <col min="12" max="12" width="5" style="10" customWidth="1"/>
    <col min="13" max="13" width="5" style="19" customWidth="1"/>
    <col min="14" max="14" width="4.77734375" style="26" customWidth="1"/>
    <col min="15" max="15" width="4.33203125" style="10" customWidth="1"/>
    <col min="16" max="16" width="5" style="19" customWidth="1"/>
    <col min="17" max="17" width="5" style="26" customWidth="1"/>
    <col min="18" max="18" width="5.109375" style="10" customWidth="1"/>
    <col min="19" max="19" width="5.109375" style="19" customWidth="1"/>
    <col min="20" max="20" width="5" style="19" customWidth="1"/>
    <col min="21" max="21" width="5.33203125" style="10" customWidth="1"/>
    <col min="22" max="23" width="5" style="19" customWidth="1"/>
    <col min="24" max="24" width="5" style="10" customWidth="1"/>
    <col min="25" max="26" width="5" style="19" customWidth="1"/>
    <col min="27" max="27" width="5" style="10" customWidth="1"/>
    <col min="28" max="28" width="5" style="19" customWidth="1"/>
    <col min="29" max="29" width="5.109375" style="19" customWidth="1"/>
    <col min="30" max="30" width="4.88671875" style="10" customWidth="1"/>
    <col min="31" max="31" width="5.44140625" style="19" customWidth="1"/>
    <col min="32" max="32" width="5" style="26" customWidth="1"/>
    <col min="33" max="33" width="5" style="10" customWidth="1"/>
    <col min="34" max="34" width="5" style="19" customWidth="1"/>
    <col min="35" max="35" width="5" style="26" customWidth="1"/>
    <col min="36" max="36" width="5" style="10" customWidth="1"/>
    <col min="37" max="37" width="5" style="19" customWidth="1"/>
    <col min="38" max="38" width="5" style="26" customWidth="1"/>
    <col min="39" max="39" width="5" style="10" customWidth="1"/>
    <col min="40" max="40" width="5" style="19" customWidth="1"/>
    <col min="41" max="41" width="5" style="23" customWidth="1"/>
    <col min="42" max="42" width="5" style="10" customWidth="1"/>
    <col min="43" max="43" width="5.109375" style="19" customWidth="1"/>
    <col min="44" max="44" width="5" style="26" customWidth="1"/>
    <col min="45" max="45" width="4.88671875" style="19" customWidth="1"/>
    <col min="46" max="47" width="5" style="19" customWidth="1"/>
    <col min="48" max="48" width="5" style="10" customWidth="1"/>
    <col min="49" max="49" width="5" style="19" customWidth="1"/>
    <col min="50" max="50" width="5" style="26" customWidth="1"/>
    <col min="51" max="51" width="5" style="10" customWidth="1"/>
    <col min="52" max="52" width="5" style="19" customWidth="1"/>
    <col min="53" max="53" width="5" style="26" customWidth="1"/>
    <col min="54" max="54" width="5" style="10" customWidth="1"/>
    <col min="55" max="56" width="5" style="19" customWidth="1"/>
    <col min="57" max="57" width="5.21875" style="10" customWidth="1"/>
    <col min="58" max="59" width="5" style="19" customWidth="1"/>
    <col min="60" max="60" width="5" style="10" customWidth="1"/>
    <col min="61" max="61" width="5" style="19" customWidth="1"/>
    <col min="62" max="62" width="5" style="26" customWidth="1"/>
    <col min="63" max="63" width="4.88671875" style="10" customWidth="1"/>
    <col min="64" max="64" width="5" style="19" customWidth="1"/>
    <col min="65" max="65" width="5.21875" style="19" customWidth="1"/>
    <col min="66" max="66" width="5" style="10" customWidth="1"/>
    <col min="67" max="67" width="5.109375" style="10" customWidth="1"/>
    <col min="68" max="75" width="5" style="10" customWidth="1"/>
    <col min="76" max="76" width="5" style="39" customWidth="1"/>
    <col min="77" max="82" width="5" style="10" customWidth="1"/>
    <col min="83" max="83" width="5" style="39" customWidth="1"/>
    <col min="84" max="86" width="5" style="10" customWidth="1"/>
    <col min="87" max="87" width="4.88671875" style="10" customWidth="1"/>
    <col min="88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8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99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4</v>
      </c>
      <c r="G6" s="62">
        <v>10</v>
      </c>
      <c r="H6" s="143"/>
      <c r="I6" s="13">
        <f t="shared" si="0"/>
        <v>14</v>
      </c>
      <c r="J6" s="62"/>
      <c r="K6" s="143">
        <f>6+1</f>
        <v>7</v>
      </c>
      <c r="L6" s="13">
        <f t="shared" si="1"/>
        <v>7</v>
      </c>
      <c r="M6" s="62"/>
      <c r="N6" s="143"/>
      <c r="O6" s="13">
        <f t="shared" si="2"/>
        <v>7</v>
      </c>
      <c r="P6" s="62">
        <v>10</v>
      </c>
      <c r="Q6" s="143">
        <f>2</f>
        <v>2</v>
      </c>
      <c r="R6" s="13">
        <f t="shared" si="3"/>
        <v>15</v>
      </c>
      <c r="S6" s="62"/>
      <c r="T6" s="143">
        <f>3+2</f>
        <v>5</v>
      </c>
      <c r="U6" s="13">
        <f t="shared" si="4"/>
        <v>10</v>
      </c>
      <c r="V6" s="62"/>
      <c r="W6" s="143"/>
      <c r="X6" s="13">
        <f t="shared" si="5"/>
        <v>10</v>
      </c>
      <c r="Y6" s="62"/>
      <c r="Z6" s="143">
        <v>1</v>
      </c>
      <c r="AA6" s="13">
        <f t="shared" ref="AA6:AA68" si="27">X6+Y6-Z6</f>
        <v>9</v>
      </c>
      <c r="AB6" s="62">
        <v>10</v>
      </c>
      <c r="AC6" s="143"/>
      <c r="AD6" s="13">
        <f t="shared" ref="AD6:AD68" si="28">AA6+AB6-AC6</f>
        <v>19</v>
      </c>
      <c r="AE6" s="62"/>
      <c r="AF6" s="143">
        <f>3+3+1</f>
        <v>7</v>
      </c>
      <c r="AG6" s="13">
        <f t="shared" ref="AG6:AG68" si="29">AD6+AE6-AF6</f>
        <v>12</v>
      </c>
      <c r="AH6" s="62"/>
      <c r="AI6" s="199"/>
      <c r="AJ6" s="13">
        <f t="shared" ref="AJ6:AJ68" si="30">AG6+AH6-AI6</f>
        <v>12</v>
      </c>
      <c r="AK6" s="62"/>
      <c r="AL6" s="143">
        <f>1</f>
        <v>1</v>
      </c>
      <c r="AM6" s="13">
        <f t="shared" si="6"/>
        <v>11</v>
      </c>
      <c r="AN6" s="62"/>
      <c r="AO6" s="143">
        <f>4</f>
        <v>4</v>
      </c>
      <c r="AP6" s="13">
        <f t="shared" si="7"/>
        <v>7</v>
      </c>
      <c r="AQ6" s="62"/>
      <c r="AR6" s="143">
        <f>3</f>
        <v>3</v>
      </c>
      <c r="AS6" s="13">
        <f t="shared" si="8"/>
        <v>4</v>
      </c>
      <c r="AT6" s="62"/>
      <c r="AU6" s="143">
        <f>2</f>
        <v>2</v>
      </c>
      <c r="AV6" s="13">
        <f t="shared" si="9"/>
        <v>2</v>
      </c>
      <c r="AW6" s="62"/>
      <c r="AX6" s="143"/>
      <c r="AY6" s="13">
        <f t="shared" si="10"/>
        <v>2</v>
      </c>
      <c r="AZ6" s="62">
        <v>10</v>
      </c>
      <c r="BA6" s="143">
        <v>2</v>
      </c>
      <c r="BB6" s="13">
        <f t="shared" si="11"/>
        <v>10</v>
      </c>
      <c r="BC6" s="62"/>
      <c r="BD6" s="143"/>
      <c r="BE6" s="13">
        <f t="shared" si="12"/>
        <v>10</v>
      </c>
      <c r="BF6" s="62"/>
      <c r="BG6" s="143">
        <f>2+2</f>
        <v>4</v>
      </c>
      <c r="BH6" s="13">
        <f t="shared" si="13"/>
        <v>6</v>
      </c>
      <c r="BI6" s="62"/>
      <c r="BJ6" s="143">
        <f>1</f>
        <v>1</v>
      </c>
      <c r="BK6" s="13">
        <f t="shared" si="14"/>
        <v>5</v>
      </c>
      <c r="BL6" s="62"/>
      <c r="BM6" s="143"/>
      <c r="BN6" s="13">
        <f t="shared" si="15"/>
        <v>5</v>
      </c>
      <c r="BO6" s="62"/>
      <c r="BP6" s="143"/>
      <c r="BQ6" s="13">
        <f t="shared" si="16"/>
        <v>5</v>
      </c>
      <c r="BR6" s="62">
        <v>10</v>
      </c>
      <c r="BS6" s="143"/>
      <c r="BT6" s="13">
        <f t="shared" si="17"/>
        <v>15</v>
      </c>
      <c r="BU6" s="62"/>
      <c r="BV6" s="143">
        <f>2</f>
        <v>2</v>
      </c>
      <c r="BW6" s="13">
        <f t="shared" si="18"/>
        <v>13</v>
      </c>
      <c r="BX6" s="62"/>
      <c r="BY6" s="143"/>
      <c r="BZ6" s="13">
        <f t="shared" si="19"/>
        <v>13</v>
      </c>
      <c r="CA6" s="62">
        <v>10</v>
      </c>
      <c r="CB6" s="143">
        <f>4+2</f>
        <v>6</v>
      </c>
      <c r="CC6" s="13">
        <f t="shared" si="20"/>
        <v>17</v>
      </c>
      <c r="CD6" s="62"/>
      <c r="CE6" s="143">
        <f>3+5</f>
        <v>8</v>
      </c>
      <c r="CF6" s="13">
        <f t="shared" si="21"/>
        <v>9</v>
      </c>
      <c r="CG6" s="62"/>
      <c r="CH6" s="143">
        <f>5</f>
        <v>5</v>
      </c>
      <c r="CI6" s="13">
        <f t="shared" ref="CI6:CI69" si="31">CF6+CG6-CH6</f>
        <v>4</v>
      </c>
      <c r="CJ6" s="62">
        <v>10</v>
      </c>
      <c r="CK6" s="143">
        <f>2</f>
        <v>2</v>
      </c>
      <c r="CL6" s="13">
        <f t="shared" ref="CL6:CL69" si="32">CI6+CJ6-CK6</f>
        <v>12</v>
      </c>
      <c r="CM6" s="62"/>
      <c r="CN6" s="143">
        <f>1</f>
        <v>1</v>
      </c>
      <c r="CO6" s="13">
        <f t="shared" si="22"/>
        <v>11</v>
      </c>
      <c r="CP6" s="62"/>
      <c r="CQ6" s="143">
        <f>6</f>
        <v>6</v>
      </c>
      <c r="CR6" s="13">
        <f t="shared" ref="CR6:CR69" si="33">CO6+CP6-CQ6</f>
        <v>5</v>
      </c>
      <c r="CS6" s="62"/>
      <c r="CT6" s="143"/>
      <c r="CU6" s="14">
        <f t="shared" si="23"/>
        <v>5</v>
      </c>
      <c r="CV6" s="5">
        <f t="shared" si="24"/>
        <v>70</v>
      </c>
      <c r="CW6" s="4">
        <f t="shared" si="24"/>
        <v>69</v>
      </c>
      <c r="CX6" s="6">
        <f t="shared" si="25"/>
        <v>5</v>
      </c>
      <c r="CY6" s="162">
        <v>210</v>
      </c>
      <c r="CZ6" s="171">
        <f t="shared" si="26"/>
        <v>1050</v>
      </c>
      <c r="DB6" s="2">
        <f t="shared" ref="DB6:DB69" si="34">CU6</f>
        <v>5</v>
      </c>
      <c r="DC6" s="61"/>
      <c r="DD6" s="143"/>
      <c r="DE6" s="149">
        <f t="shared" ref="DE6:DE70" si="35">DC6+DB6-DD6</f>
        <v>5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99"/>
      <c r="AJ7" s="13">
        <f t="shared" si="30"/>
        <v>0</v>
      </c>
      <c r="AK7" s="61"/>
      <c r="AL7" s="143"/>
      <c r="AM7" s="13">
        <f t="shared" si="6"/>
        <v>0</v>
      </c>
      <c r="AN7" s="61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1"/>
      <c r="CE7" s="143"/>
      <c r="CF7" s="13">
        <f t="shared" si="21"/>
        <v>0</v>
      </c>
      <c r="CG7" s="62"/>
      <c r="CH7" s="143"/>
      <c r="CI7" s="13">
        <f t="shared" si="31"/>
        <v>0</v>
      </c>
      <c r="CJ7" s="61"/>
      <c r="CK7" s="143"/>
      <c r="CL7" s="13">
        <f t="shared" si="32"/>
        <v>0</v>
      </c>
      <c r="CM7" s="61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8</v>
      </c>
      <c r="G8" s="62">
        <v>20</v>
      </c>
      <c r="H8" s="143">
        <v>7</v>
      </c>
      <c r="I8" s="13">
        <f t="shared" si="0"/>
        <v>21</v>
      </c>
      <c r="J8" s="62">
        <v>20</v>
      </c>
      <c r="K8" s="143">
        <v>9</v>
      </c>
      <c r="L8" s="13">
        <f t="shared" si="1"/>
        <v>32</v>
      </c>
      <c r="M8" s="62"/>
      <c r="N8" s="143"/>
      <c r="O8" s="13">
        <f t="shared" si="2"/>
        <v>32</v>
      </c>
      <c r="P8" s="62"/>
      <c r="Q8" s="143">
        <v>7</v>
      </c>
      <c r="R8" s="13">
        <f t="shared" si="3"/>
        <v>25</v>
      </c>
      <c r="S8" s="62"/>
      <c r="T8" s="143">
        <v>9</v>
      </c>
      <c r="U8" s="13">
        <f t="shared" si="4"/>
        <v>16</v>
      </c>
      <c r="V8" s="62"/>
      <c r="W8" s="143"/>
      <c r="X8" s="13">
        <f t="shared" si="5"/>
        <v>16</v>
      </c>
      <c r="Y8" s="62"/>
      <c r="Z8" s="143">
        <v>4</v>
      </c>
      <c r="AA8" s="13">
        <f t="shared" si="27"/>
        <v>12</v>
      </c>
      <c r="AB8" s="62">
        <v>20</v>
      </c>
      <c r="AC8" s="143">
        <v>7</v>
      </c>
      <c r="AD8" s="13">
        <f t="shared" si="28"/>
        <v>25</v>
      </c>
      <c r="AE8" s="62">
        <v>20</v>
      </c>
      <c r="AF8" s="143">
        <v>9</v>
      </c>
      <c r="AG8" s="13">
        <f t="shared" si="29"/>
        <v>36</v>
      </c>
      <c r="AH8" s="62"/>
      <c r="AI8" s="199"/>
      <c r="AJ8" s="13">
        <f t="shared" si="30"/>
        <v>36</v>
      </c>
      <c r="AK8" s="61"/>
      <c r="AL8" s="143">
        <v>8</v>
      </c>
      <c r="AM8" s="13">
        <f t="shared" si="6"/>
        <v>28</v>
      </c>
      <c r="AN8" s="61">
        <v>20</v>
      </c>
      <c r="AO8" s="143">
        <f>11</f>
        <v>11</v>
      </c>
      <c r="AP8" s="13">
        <f t="shared" si="7"/>
        <v>37</v>
      </c>
      <c r="AQ8" s="61"/>
      <c r="AR8" s="143"/>
      <c r="AS8" s="13">
        <f t="shared" si="8"/>
        <v>37</v>
      </c>
      <c r="AT8" s="61"/>
      <c r="AU8" s="143">
        <v>9</v>
      </c>
      <c r="AV8" s="13">
        <f t="shared" si="9"/>
        <v>28</v>
      </c>
      <c r="AW8" s="62"/>
      <c r="AX8" s="143">
        <v>8</v>
      </c>
      <c r="AY8" s="13">
        <f t="shared" si="10"/>
        <v>20</v>
      </c>
      <c r="AZ8" s="62"/>
      <c r="BA8" s="143">
        <v>9</v>
      </c>
      <c r="BB8" s="13">
        <f t="shared" si="11"/>
        <v>11</v>
      </c>
      <c r="BC8" s="62"/>
      <c r="BD8" s="143"/>
      <c r="BE8" s="13">
        <f t="shared" si="12"/>
        <v>11</v>
      </c>
      <c r="BF8" s="62">
        <v>20</v>
      </c>
      <c r="BG8" s="143">
        <v>6</v>
      </c>
      <c r="BH8" s="13">
        <f t="shared" si="13"/>
        <v>25</v>
      </c>
      <c r="BI8" s="62"/>
      <c r="BJ8" s="143">
        <v>10</v>
      </c>
      <c r="BK8" s="13">
        <f t="shared" si="14"/>
        <v>15</v>
      </c>
      <c r="BL8" s="62"/>
      <c r="BM8" s="143"/>
      <c r="BN8" s="13">
        <f t="shared" si="15"/>
        <v>15</v>
      </c>
      <c r="BO8" s="62">
        <v>20</v>
      </c>
      <c r="BP8" s="143">
        <v>6</v>
      </c>
      <c r="BQ8" s="13">
        <f t="shared" si="16"/>
        <v>29</v>
      </c>
      <c r="BR8" s="62"/>
      <c r="BS8" s="143">
        <v>5</v>
      </c>
      <c r="BT8" s="13">
        <f t="shared" si="17"/>
        <v>24</v>
      </c>
      <c r="BU8" s="62"/>
      <c r="BV8" s="143">
        <v>8</v>
      </c>
      <c r="BW8" s="13">
        <f t="shared" si="18"/>
        <v>16</v>
      </c>
      <c r="BX8" s="62"/>
      <c r="BY8" s="143"/>
      <c r="BZ8" s="13">
        <f t="shared" si="19"/>
        <v>16</v>
      </c>
      <c r="CA8" s="62">
        <v>20</v>
      </c>
      <c r="CB8" s="143">
        <v>5</v>
      </c>
      <c r="CC8" s="13">
        <f t="shared" si="20"/>
        <v>31</v>
      </c>
      <c r="CD8" s="61"/>
      <c r="CE8" s="143">
        <v>7</v>
      </c>
      <c r="CF8" s="13">
        <f t="shared" si="21"/>
        <v>24</v>
      </c>
      <c r="CG8" s="62"/>
      <c r="CH8" s="143"/>
      <c r="CI8" s="13">
        <f t="shared" si="31"/>
        <v>24</v>
      </c>
      <c r="CJ8" s="61">
        <v>20</v>
      </c>
      <c r="CK8" s="143">
        <v>10</v>
      </c>
      <c r="CL8" s="13">
        <f t="shared" si="32"/>
        <v>34</v>
      </c>
      <c r="CM8" s="61"/>
      <c r="CN8" s="143">
        <v>6</v>
      </c>
      <c r="CO8" s="13">
        <f t="shared" si="22"/>
        <v>28</v>
      </c>
      <c r="CP8" s="62"/>
      <c r="CQ8" s="143">
        <v>10</v>
      </c>
      <c r="CR8" s="13">
        <f t="shared" si="33"/>
        <v>18</v>
      </c>
      <c r="CS8" s="62"/>
      <c r="CT8" s="143"/>
      <c r="CU8" s="14">
        <f t="shared" si="23"/>
        <v>18</v>
      </c>
      <c r="CV8" s="5">
        <f t="shared" si="24"/>
        <v>180</v>
      </c>
      <c r="CW8" s="4">
        <f t="shared" si="24"/>
        <v>170</v>
      </c>
      <c r="CX8" s="6">
        <f t="shared" si="25"/>
        <v>18</v>
      </c>
      <c r="CY8" s="162">
        <v>125</v>
      </c>
      <c r="CZ8" s="171">
        <f t="shared" si="26"/>
        <v>2250</v>
      </c>
      <c r="DB8" s="2">
        <f t="shared" si="34"/>
        <v>18</v>
      </c>
      <c r="DC8" s="61"/>
      <c r="DD8" s="143"/>
      <c r="DE8" s="149">
        <f t="shared" si="35"/>
        <v>18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99"/>
      <c r="AJ9" s="13">
        <f t="shared" si="30"/>
        <v>0</v>
      </c>
      <c r="AK9" s="61"/>
      <c r="AL9" s="143"/>
      <c r="AM9" s="13">
        <f t="shared" si="6"/>
        <v>0</v>
      </c>
      <c r="AN9" s="61"/>
      <c r="AO9" s="143"/>
      <c r="AP9" s="13">
        <f t="shared" si="7"/>
        <v>0</v>
      </c>
      <c r="AQ9" s="61"/>
      <c r="AR9" s="143"/>
      <c r="AS9" s="13">
        <f t="shared" si="8"/>
        <v>0</v>
      </c>
      <c r="AT9" s="61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99"/>
      <c r="AJ10" s="13">
        <f t="shared" si="30"/>
        <v>0</v>
      </c>
      <c r="AK10" s="61"/>
      <c r="AL10" s="143"/>
      <c r="AM10" s="13">
        <f t="shared" si="6"/>
        <v>0</v>
      </c>
      <c r="AN10" s="61"/>
      <c r="AO10" s="143"/>
      <c r="AP10" s="13">
        <f t="shared" si="7"/>
        <v>0</v>
      </c>
      <c r="AQ10" s="61"/>
      <c r="AR10" s="143"/>
      <c r="AS10" s="13">
        <f t="shared" si="8"/>
        <v>0</v>
      </c>
      <c r="AT10" s="61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1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1"/>
      <c r="CK10" s="143"/>
      <c r="CL10" s="13">
        <f t="shared" si="32"/>
        <v>0</v>
      </c>
      <c r="CM10" s="61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99"/>
      <c r="AJ11" s="13">
        <f t="shared" si="30"/>
        <v>0</v>
      </c>
      <c r="AK11" s="66"/>
      <c r="AL11" s="143"/>
      <c r="AM11" s="13">
        <f t="shared" si="6"/>
        <v>0</v>
      </c>
      <c r="AN11" s="66"/>
      <c r="AO11" s="143"/>
      <c r="AP11" s="13">
        <f t="shared" si="7"/>
        <v>0</v>
      </c>
      <c r="AQ11" s="66"/>
      <c r="AR11" s="143"/>
      <c r="AS11" s="13">
        <f t="shared" si="8"/>
        <v>0</v>
      </c>
      <c r="AT11" s="66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66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66"/>
      <c r="CK11" s="143"/>
      <c r="CL11" s="13">
        <f t="shared" si="32"/>
        <v>0</v>
      </c>
      <c r="CM11" s="66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6</v>
      </c>
      <c r="G12" s="62">
        <f>-53-10+60+60</f>
        <v>57</v>
      </c>
      <c r="H12" s="143">
        <f>6</f>
        <v>6</v>
      </c>
      <c r="I12" s="13">
        <f t="shared" si="0"/>
        <v>57</v>
      </c>
      <c r="J12" s="62">
        <f>-46+60+46</f>
        <v>60</v>
      </c>
      <c r="K12" s="143">
        <f>12+45</f>
        <v>57</v>
      </c>
      <c r="L12" s="13">
        <f t="shared" si="1"/>
        <v>60</v>
      </c>
      <c r="M12" s="62"/>
      <c r="N12" s="143"/>
      <c r="O12" s="13">
        <f t="shared" si="2"/>
        <v>60</v>
      </c>
      <c r="P12" s="62">
        <v>60</v>
      </c>
      <c r="Q12" s="143">
        <f>5+43</f>
        <v>48</v>
      </c>
      <c r="R12" s="13">
        <f t="shared" si="3"/>
        <v>72</v>
      </c>
      <c r="S12" s="62">
        <f>40+20</f>
        <v>60</v>
      </c>
      <c r="T12" s="143">
        <f>5+4+61</f>
        <v>70</v>
      </c>
      <c r="U12" s="13">
        <f t="shared" si="4"/>
        <v>62</v>
      </c>
      <c r="V12" s="62"/>
      <c r="W12" s="143"/>
      <c r="X12" s="13">
        <f t="shared" si="5"/>
        <v>62</v>
      </c>
      <c r="Y12" s="62">
        <f>-9+40+20</f>
        <v>51</v>
      </c>
      <c r="Z12" s="143">
        <f>4+58</f>
        <v>62</v>
      </c>
      <c r="AA12" s="13">
        <f t="shared" si="27"/>
        <v>51</v>
      </c>
      <c r="AB12" s="62">
        <f>-8+60+40</f>
        <v>92</v>
      </c>
      <c r="AC12" s="143">
        <f>5+46</f>
        <v>51</v>
      </c>
      <c r="AD12" s="13">
        <f t="shared" si="28"/>
        <v>92</v>
      </c>
      <c r="AE12" s="62">
        <f>-42+40+180</f>
        <v>178</v>
      </c>
      <c r="AF12" s="143">
        <f>8+84</f>
        <v>92</v>
      </c>
      <c r="AG12" s="13">
        <f t="shared" si="29"/>
        <v>178</v>
      </c>
      <c r="AH12" s="62"/>
      <c r="AI12" s="199"/>
      <c r="AJ12" s="13">
        <f t="shared" si="30"/>
        <v>178</v>
      </c>
      <c r="AK12" s="61">
        <f>100</f>
        <v>100</v>
      </c>
      <c r="AL12" s="143">
        <f>5+66</f>
        <v>71</v>
      </c>
      <c r="AM12" s="13">
        <f t="shared" si="6"/>
        <v>207</v>
      </c>
      <c r="AN12" s="61">
        <f>100</f>
        <v>100</v>
      </c>
      <c r="AO12" s="143">
        <f>6+99</f>
        <v>105</v>
      </c>
      <c r="AP12" s="13">
        <f t="shared" si="7"/>
        <v>202</v>
      </c>
      <c r="AQ12" s="61"/>
      <c r="AR12" s="143"/>
      <c r="AS12" s="13">
        <f t="shared" si="8"/>
        <v>202</v>
      </c>
      <c r="AT12" s="61"/>
      <c r="AU12" s="143">
        <f>5+10+55</f>
        <v>70</v>
      </c>
      <c r="AV12" s="13">
        <f t="shared" si="9"/>
        <v>132</v>
      </c>
      <c r="AW12" s="62"/>
      <c r="AX12" s="143">
        <f>5+53</f>
        <v>58</v>
      </c>
      <c r="AY12" s="13">
        <f t="shared" si="10"/>
        <v>74</v>
      </c>
      <c r="AZ12" s="62">
        <v>60</v>
      </c>
      <c r="BA12" s="143">
        <f>8+55</f>
        <v>63</v>
      </c>
      <c r="BB12" s="13">
        <f t="shared" si="11"/>
        <v>71</v>
      </c>
      <c r="BC12" s="62"/>
      <c r="BD12" s="143"/>
      <c r="BE12" s="13">
        <f t="shared" si="12"/>
        <v>71</v>
      </c>
      <c r="BF12" s="62">
        <v>60</v>
      </c>
      <c r="BG12" s="143">
        <f>5+36+4</f>
        <v>45</v>
      </c>
      <c r="BH12" s="13">
        <f t="shared" si="13"/>
        <v>86</v>
      </c>
      <c r="BI12" s="62">
        <v>40</v>
      </c>
      <c r="BJ12" s="143">
        <f>6+40</f>
        <v>46</v>
      </c>
      <c r="BK12" s="13">
        <f t="shared" si="14"/>
        <v>80</v>
      </c>
      <c r="BL12" s="62"/>
      <c r="BM12" s="143"/>
      <c r="BN12" s="13">
        <f t="shared" si="15"/>
        <v>80</v>
      </c>
      <c r="BO12" s="62">
        <v>40</v>
      </c>
      <c r="BP12" s="143">
        <f>4+36</f>
        <v>40</v>
      </c>
      <c r="BQ12" s="13">
        <f t="shared" si="16"/>
        <v>80</v>
      </c>
      <c r="BR12" s="62">
        <v>60</v>
      </c>
      <c r="BS12" s="143">
        <f>3+51</f>
        <v>54</v>
      </c>
      <c r="BT12" s="13">
        <f t="shared" si="17"/>
        <v>86</v>
      </c>
      <c r="BU12" s="62">
        <v>40</v>
      </c>
      <c r="BV12" s="143">
        <f>7+5+68</f>
        <v>80</v>
      </c>
      <c r="BW12" s="13">
        <f t="shared" si="18"/>
        <v>46</v>
      </c>
      <c r="BX12" s="62"/>
      <c r="BY12" s="143"/>
      <c r="BZ12" s="13">
        <f t="shared" si="19"/>
        <v>46</v>
      </c>
      <c r="CA12" s="62">
        <f>-4+60+4</f>
        <v>60</v>
      </c>
      <c r="CB12" s="143">
        <f>5+41</f>
        <v>46</v>
      </c>
      <c r="CC12" s="13">
        <f t="shared" si="20"/>
        <v>60</v>
      </c>
      <c r="CD12" s="61">
        <f>-1+40+10</f>
        <v>49</v>
      </c>
      <c r="CE12" s="143">
        <f>6+54</f>
        <v>60</v>
      </c>
      <c r="CF12" s="13">
        <f t="shared" si="21"/>
        <v>49</v>
      </c>
      <c r="CG12" s="62"/>
      <c r="CH12" s="143"/>
      <c r="CI12" s="13">
        <f t="shared" si="31"/>
        <v>49</v>
      </c>
      <c r="CJ12" s="61">
        <f>-3+40+20</f>
        <v>57</v>
      </c>
      <c r="CK12" s="143">
        <f>4+45</f>
        <v>49</v>
      </c>
      <c r="CL12" s="13">
        <f t="shared" si="32"/>
        <v>57</v>
      </c>
      <c r="CM12" s="62">
        <f>-11+60+20</f>
        <v>69</v>
      </c>
      <c r="CN12" s="143">
        <f>6+51</f>
        <v>57</v>
      </c>
      <c r="CO12" s="13">
        <f t="shared" si="22"/>
        <v>69</v>
      </c>
      <c r="CP12" s="62">
        <f>-40+40+20</f>
        <v>20</v>
      </c>
      <c r="CQ12" s="143">
        <f>10+59</f>
        <v>69</v>
      </c>
      <c r="CR12" s="13">
        <f t="shared" si="33"/>
        <v>20</v>
      </c>
      <c r="CS12" s="62"/>
      <c r="CT12" s="143"/>
      <c r="CU12" s="14">
        <f t="shared" si="23"/>
        <v>20</v>
      </c>
      <c r="CV12" s="5">
        <f t="shared" si="24"/>
        <v>1313</v>
      </c>
      <c r="CW12" s="4">
        <f t="shared" si="24"/>
        <v>1299</v>
      </c>
      <c r="CX12" s="6">
        <f t="shared" si="25"/>
        <v>20</v>
      </c>
      <c r="CY12" s="162">
        <v>45</v>
      </c>
      <c r="CZ12" s="171">
        <f t="shared" si="26"/>
        <v>900</v>
      </c>
      <c r="DB12" s="2">
        <f t="shared" si="34"/>
        <v>20</v>
      </c>
      <c r="DC12" s="61"/>
      <c r="DD12" s="143"/>
      <c r="DE12" s="149">
        <f t="shared" si="35"/>
        <v>20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5.25</v>
      </c>
      <c r="G13" s="62">
        <v>6</v>
      </c>
      <c r="H13" s="143"/>
      <c r="I13" s="13">
        <f t="shared" si="0"/>
        <v>11.25</v>
      </c>
      <c r="J13" s="62"/>
      <c r="K13" s="143">
        <f>1.25+1</f>
        <v>2.25</v>
      </c>
      <c r="L13" s="13">
        <f t="shared" si="1"/>
        <v>9</v>
      </c>
      <c r="M13" s="62"/>
      <c r="N13" s="143"/>
      <c r="O13" s="13">
        <f t="shared" si="2"/>
        <v>9</v>
      </c>
      <c r="P13" s="62">
        <v>6</v>
      </c>
      <c r="Q13" s="143">
        <f>1+1+4.75+1.25</f>
        <v>8</v>
      </c>
      <c r="R13" s="30">
        <f t="shared" si="3"/>
        <v>7</v>
      </c>
      <c r="S13" s="62"/>
      <c r="T13" s="143">
        <f>1+2</f>
        <v>3</v>
      </c>
      <c r="U13" s="13">
        <f t="shared" si="4"/>
        <v>4</v>
      </c>
      <c r="V13" s="62"/>
      <c r="W13" s="143"/>
      <c r="X13" s="13">
        <f t="shared" si="5"/>
        <v>4</v>
      </c>
      <c r="Y13" s="62">
        <v>6</v>
      </c>
      <c r="Z13" s="143">
        <f>2+0.25</f>
        <v>2.25</v>
      </c>
      <c r="AA13" s="13">
        <f t="shared" si="27"/>
        <v>7.75</v>
      </c>
      <c r="AB13" s="62"/>
      <c r="AC13" s="143">
        <v>0.75</v>
      </c>
      <c r="AD13" s="13">
        <f t="shared" si="28"/>
        <v>7</v>
      </c>
      <c r="AE13" s="62"/>
      <c r="AF13" s="143">
        <f>1</f>
        <v>1</v>
      </c>
      <c r="AG13" s="13">
        <f t="shared" si="29"/>
        <v>6</v>
      </c>
      <c r="AH13" s="62"/>
      <c r="AI13" s="199"/>
      <c r="AJ13" s="13">
        <f t="shared" si="30"/>
        <v>6</v>
      </c>
      <c r="AK13" s="61"/>
      <c r="AL13" s="143"/>
      <c r="AM13" s="13">
        <f t="shared" si="6"/>
        <v>6</v>
      </c>
      <c r="AN13" s="61">
        <v>6</v>
      </c>
      <c r="AO13" s="143">
        <f>0.75+1+1</f>
        <v>2.75</v>
      </c>
      <c r="AP13" s="13">
        <f t="shared" si="7"/>
        <v>9.25</v>
      </c>
      <c r="AQ13" s="61"/>
      <c r="AR13" s="143">
        <f>0.75</f>
        <v>0.75</v>
      </c>
      <c r="AS13" s="13">
        <f t="shared" si="8"/>
        <v>8.5</v>
      </c>
      <c r="AT13" s="61">
        <v>6</v>
      </c>
      <c r="AU13" s="143">
        <f>1.75+1.5+1+1</f>
        <v>5.25</v>
      </c>
      <c r="AV13" s="13">
        <f t="shared" si="9"/>
        <v>9.25</v>
      </c>
      <c r="AW13" s="62"/>
      <c r="AX13" s="143">
        <f>1.25</f>
        <v>1.25</v>
      </c>
      <c r="AY13" s="13">
        <f t="shared" si="10"/>
        <v>8</v>
      </c>
      <c r="AZ13" s="62">
        <v>12</v>
      </c>
      <c r="BA13" s="143">
        <f>1.5+2.5</f>
        <v>4</v>
      </c>
      <c r="BB13" s="13">
        <f t="shared" si="11"/>
        <v>16</v>
      </c>
      <c r="BC13" s="62"/>
      <c r="BD13" s="143"/>
      <c r="BE13" s="13">
        <f t="shared" si="12"/>
        <v>16</v>
      </c>
      <c r="BF13" s="62">
        <v>6</v>
      </c>
      <c r="BG13" s="143">
        <f>2+3.25+4.75</f>
        <v>10</v>
      </c>
      <c r="BH13" s="13">
        <f t="shared" si="13"/>
        <v>12</v>
      </c>
      <c r="BI13" s="62"/>
      <c r="BJ13" s="143">
        <f>1+1.75</f>
        <v>2.75</v>
      </c>
      <c r="BK13" s="13">
        <f t="shared" si="14"/>
        <v>9.25</v>
      </c>
      <c r="BL13" s="62"/>
      <c r="BM13" s="143"/>
      <c r="BN13" s="13">
        <f t="shared" si="15"/>
        <v>9.25</v>
      </c>
      <c r="BO13" s="62">
        <v>6</v>
      </c>
      <c r="BP13" s="143">
        <f>1.75+2+1</f>
        <v>4.75</v>
      </c>
      <c r="BQ13" s="13">
        <f t="shared" si="16"/>
        <v>10.5</v>
      </c>
      <c r="BR13" s="62"/>
      <c r="BS13" s="143">
        <f>1</f>
        <v>1</v>
      </c>
      <c r="BT13" s="13">
        <f t="shared" si="17"/>
        <v>9.5</v>
      </c>
      <c r="BU13" s="62"/>
      <c r="BV13" s="143">
        <f>1</f>
        <v>1</v>
      </c>
      <c r="BW13" s="13">
        <f t="shared" si="18"/>
        <v>8.5</v>
      </c>
      <c r="BX13" s="62"/>
      <c r="BY13" s="143"/>
      <c r="BZ13" s="13">
        <f t="shared" si="19"/>
        <v>8.5</v>
      </c>
      <c r="CA13" s="62">
        <v>6</v>
      </c>
      <c r="CB13" s="143">
        <f>1+1+2+2</f>
        <v>6</v>
      </c>
      <c r="CC13" s="13">
        <f t="shared" si="20"/>
        <v>8.5</v>
      </c>
      <c r="CD13" s="61">
        <v>6</v>
      </c>
      <c r="CE13" s="143">
        <f>1+1</f>
        <v>2</v>
      </c>
      <c r="CF13" s="13">
        <f t="shared" si="21"/>
        <v>12.5</v>
      </c>
      <c r="CG13" s="62"/>
      <c r="CH13" s="143">
        <f>1</f>
        <v>1</v>
      </c>
      <c r="CI13" s="13">
        <f>CF13+CG13-CH13</f>
        <v>11.5</v>
      </c>
      <c r="CJ13" s="61">
        <v>6</v>
      </c>
      <c r="CK13" s="143">
        <f>1+3.25+1+1.5+0.75+0.75</f>
        <v>8.25</v>
      </c>
      <c r="CL13" s="13">
        <f>CI13+CJ13-CK13</f>
        <v>9.25</v>
      </c>
      <c r="CM13" s="62"/>
      <c r="CN13" s="143"/>
      <c r="CO13" s="13">
        <f t="shared" si="22"/>
        <v>9.25</v>
      </c>
      <c r="CP13" s="62"/>
      <c r="CQ13" s="143"/>
      <c r="CR13" s="13">
        <f t="shared" si="33"/>
        <v>9.25</v>
      </c>
      <c r="CS13" s="62"/>
      <c r="CT13" s="143"/>
      <c r="CU13" s="14">
        <f t="shared" si="23"/>
        <v>9.25</v>
      </c>
      <c r="CV13" s="5">
        <f t="shared" si="24"/>
        <v>72</v>
      </c>
      <c r="CW13" s="4">
        <f t="shared" si="24"/>
        <v>68</v>
      </c>
      <c r="CX13" s="6">
        <f t="shared" si="25"/>
        <v>9.25</v>
      </c>
      <c r="CY13" s="162">
        <v>760</v>
      </c>
      <c r="CZ13" s="171">
        <f t="shared" si="26"/>
        <v>7030</v>
      </c>
      <c r="DB13" s="2">
        <f t="shared" si="34"/>
        <v>9.25</v>
      </c>
      <c r="DC13" s="61"/>
      <c r="DD13" s="143"/>
      <c r="DE13" s="149">
        <f t="shared" si="35"/>
        <v>9.25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11.5</v>
      </c>
      <c r="G14" s="62">
        <f>-1+40</f>
        <v>39</v>
      </c>
      <c r="H14" s="143">
        <f>2.5+0.5+0.5+0.5+7</f>
        <v>11</v>
      </c>
      <c r="I14" s="13">
        <f t="shared" si="0"/>
        <v>39.5</v>
      </c>
      <c r="J14" s="62">
        <f>8+24</f>
        <v>32</v>
      </c>
      <c r="K14" s="143">
        <f>3+14+25</f>
        <v>42</v>
      </c>
      <c r="L14" s="13">
        <f t="shared" si="1"/>
        <v>29.5</v>
      </c>
      <c r="M14" s="62"/>
      <c r="N14" s="143"/>
      <c r="O14" s="13">
        <f t="shared" si="2"/>
        <v>29.5</v>
      </c>
      <c r="P14" s="62">
        <v>16</v>
      </c>
      <c r="Q14" s="143">
        <f>1+1.5+2+1+2+2+11</f>
        <v>20.5</v>
      </c>
      <c r="R14" s="30">
        <f t="shared" si="3"/>
        <v>25</v>
      </c>
      <c r="S14" s="62">
        <v>24</v>
      </c>
      <c r="T14" s="143">
        <f>0.5+1+1+0.5+18</f>
        <v>21</v>
      </c>
      <c r="U14" s="13">
        <f t="shared" si="4"/>
        <v>28</v>
      </c>
      <c r="V14" s="62"/>
      <c r="W14" s="143">
        <f>1+1</f>
        <v>2</v>
      </c>
      <c r="X14" s="13">
        <f t="shared" si="5"/>
        <v>26</v>
      </c>
      <c r="Y14" s="62">
        <v>16</v>
      </c>
      <c r="Z14" s="143">
        <f>1+1+1.5+1+2.5+2+9</f>
        <v>18</v>
      </c>
      <c r="AA14" s="13">
        <f t="shared" si="27"/>
        <v>24</v>
      </c>
      <c r="AB14" s="62">
        <v>16</v>
      </c>
      <c r="AC14" s="143">
        <f>0.5+0.5+11</f>
        <v>12</v>
      </c>
      <c r="AD14" s="13">
        <f t="shared" si="28"/>
        <v>28</v>
      </c>
      <c r="AE14" s="62">
        <v>24</v>
      </c>
      <c r="AF14" s="143">
        <f>3+17</f>
        <v>20</v>
      </c>
      <c r="AG14" s="13">
        <f t="shared" si="29"/>
        <v>32</v>
      </c>
      <c r="AH14" s="62"/>
      <c r="AI14" s="199"/>
      <c r="AJ14" s="13">
        <f t="shared" si="30"/>
        <v>32</v>
      </c>
      <c r="AK14" s="61">
        <v>24</v>
      </c>
      <c r="AL14" s="143">
        <f>16</f>
        <v>16</v>
      </c>
      <c r="AM14" s="13">
        <f t="shared" si="6"/>
        <v>40</v>
      </c>
      <c r="AN14" s="61">
        <v>8</v>
      </c>
      <c r="AO14" s="143">
        <f>1+10+0.5+1+0.5</f>
        <v>13</v>
      </c>
      <c r="AP14" s="13">
        <f t="shared" si="7"/>
        <v>35</v>
      </c>
      <c r="AQ14" s="61">
        <v>16</v>
      </c>
      <c r="AR14" s="143">
        <f>1+0.5</f>
        <v>1.5</v>
      </c>
      <c r="AS14" s="13">
        <f t="shared" si="8"/>
        <v>49.5</v>
      </c>
      <c r="AT14" s="61">
        <v>8</v>
      </c>
      <c r="AU14" s="143">
        <f>2+1+0.5+1+11</f>
        <v>15.5</v>
      </c>
      <c r="AV14" s="13">
        <f t="shared" si="9"/>
        <v>42</v>
      </c>
      <c r="AW14" s="62"/>
      <c r="AX14" s="143">
        <f>0.5+0.5+0.5+0.5+7</f>
        <v>9</v>
      </c>
      <c r="AY14" s="180">
        <f t="shared" si="10"/>
        <v>33</v>
      </c>
      <c r="AZ14" s="62">
        <v>16</v>
      </c>
      <c r="BA14" s="143">
        <f>2+1+1+16</f>
        <v>20</v>
      </c>
      <c r="BB14" s="13">
        <f t="shared" si="11"/>
        <v>29</v>
      </c>
      <c r="BC14" s="62"/>
      <c r="BD14" s="143"/>
      <c r="BE14" s="13">
        <f t="shared" si="12"/>
        <v>29</v>
      </c>
      <c r="BF14" s="62">
        <v>16</v>
      </c>
      <c r="BG14" s="143">
        <f>1+1.5+1+2+9</f>
        <v>14.5</v>
      </c>
      <c r="BH14" s="13">
        <f t="shared" si="13"/>
        <v>30.5</v>
      </c>
      <c r="BI14" s="62">
        <v>16</v>
      </c>
      <c r="BJ14" s="143">
        <f>1.5+2+8</f>
        <v>11.5</v>
      </c>
      <c r="BK14" s="13">
        <f t="shared" si="14"/>
        <v>35</v>
      </c>
      <c r="BL14" s="62"/>
      <c r="BM14" s="143">
        <f>1+1+1</f>
        <v>3</v>
      </c>
      <c r="BN14" s="13">
        <f t="shared" si="15"/>
        <v>32</v>
      </c>
      <c r="BO14" s="62">
        <f>8+24</f>
        <v>32</v>
      </c>
      <c r="BP14" s="143">
        <f>1+1+2+1.5+1.5+2+1+2</f>
        <v>12</v>
      </c>
      <c r="BQ14" s="13">
        <f t="shared" si="16"/>
        <v>52</v>
      </c>
      <c r="BR14" s="62"/>
      <c r="BS14" s="143">
        <f>0.5+0.5+0.5+0.5+4</f>
        <v>6</v>
      </c>
      <c r="BT14" s="13">
        <f t="shared" si="17"/>
        <v>46</v>
      </c>
      <c r="BU14" s="62"/>
      <c r="BV14" s="143">
        <f>3+7</f>
        <v>10</v>
      </c>
      <c r="BW14" s="13">
        <f t="shared" si="18"/>
        <v>36</v>
      </c>
      <c r="BX14" s="62"/>
      <c r="BY14" s="143"/>
      <c r="BZ14" s="13">
        <f t="shared" si="19"/>
        <v>36</v>
      </c>
      <c r="CA14" s="62"/>
      <c r="CB14" s="143">
        <f>2+1.5+1</f>
        <v>4.5</v>
      </c>
      <c r="CC14" s="13">
        <f t="shared" si="20"/>
        <v>31.5</v>
      </c>
      <c r="CD14" s="61">
        <v>16</v>
      </c>
      <c r="CE14" s="143">
        <f>0.5+2+2+1+8</f>
        <v>13.5</v>
      </c>
      <c r="CF14" s="13">
        <f t="shared" si="21"/>
        <v>34</v>
      </c>
      <c r="CG14" s="62"/>
      <c r="CH14" s="143">
        <f>2+1</f>
        <v>3</v>
      </c>
      <c r="CI14" s="13">
        <f t="shared" si="31"/>
        <v>31</v>
      </c>
      <c r="CJ14" s="61">
        <v>8</v>
      </c>
      <c r="CK14" s="143">
        <f>2+2.5+0.5+1+0.5+3</f>
        <v>9.5</v>
      </c>
      <c r="CL14" s="13">
        <f t="shared" si="32"/>
        <v>29.5</v>
      </c>
      <c r="CM14" s="62">
        <v>8</v>
      </c>
      <c r="CN14" s="143">
        <f>2.5+0.5+0.5+0.5+0.5+0.5+7</f>
        <v>12</v>
      </c>
      <c r="CO14" s="13">
        <f t="shared" si="22"/>
        <v>25.5</v>
      </c>
      <c r="CP14" s="62">
        <v>8</v>
      </c>
      <c r="CQ14" s="143">
        <f>2+1+1+11</f>
        <v>15</v>
      </c>
      <c r="CR14" s="13">
        <f t="shared" si="33"/>
        <v>18.5</v>
      </c>
      <c r="CS14" s="62"/>
      <c r="CT14" s="143"/>
      <c r="CU14" s="14">
        <f t="shared" si="23"/>
        <v>18.5</v>
      </c>
      <c r="CV14" s="5">
        <f t="shared" si="24"/>
        <v>343</v>
      </c>
      <c r="CW14" s="4">
        <f t="shared" si="24"/>
        <v>336</v>
      </c>
      <c r="CX14" s="6">
        <f t="shared" si="25"/>
        <v>18.5</v>
      </c>
      <c r="CY14" s="162">
        <v>125</v>
      </c>
      <c r="CZ14" s="171">
        <f t="shared" si="26"/>
        <v>2312.5</v>
      </c>
      <c r="DB14" s="2">
        <f t="shared" si="34"/>
        <v>18.5</v>
      </c>
      <c r="DC14" s="61"/>
      <c r="DD14" s="143"/>
      <c r="DE14" s="149">
        <f t="shared" si="35"/>
        <v>18.5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44</v>
      </c>
      <c r="G15" s="62">
        <v>47</v>
      </c>
      <c r="H15" s="143">
        <f>2+1+1+2+2+7</f>
        <v>15</v>
      </c>
      <c r="I15" s="13">
        <f t="shared" si="0"/>
        <v>76</v>
      </c>
      <c r="J15" s="62">
        <f>-5+90</f>
        <v>85</v>
      </c>
      <c r="K15" s="143">
        <f>30+9+6+21+2</f>
        <v>68</v>
      </c>
      <c r="L15" s="13">
        <f t="shared" si="1"/>
        <v>93</v>
      </c>
      <c r="M15" s="62"/>
      <c r="N15" s="143"/>
      <c r="O15" s="13">
        <f t="shared" si="2"/>
        <v>93</v>
      </c>
      <c r="P15" s="62">
        <v>50</v>
      </c>
      <c r="Q15" s="143">
        <f>9+14</f>
        <v>23</v>
      </c>
      <c r="R15" s="30">
        <f t="shared" si="3"/>
        <v>120</v>
      </c>
      <c r="S15" s="62">
        <f>13+135</f>
        <v>148</v>
      </c>
      <c r="T15" s="143">
        <f>15+13+9+18+18+7+40</f>
        <v>120</v>
      </c>
      <c r="U15" s="13">
        <f t="shared" si="4"/>
        <v>148</v>
      </c>
      <c r="V15" s="62"/>
      <c r="W15" s="143">
        <f>6+5+9+7+1</f>
        <v>28</v>
      </c>
      <c r="X15" s="13">
        <f t="shared" si="5"/>
        <v>120</v>
      </c>
      <c r="Y15" s="62">
        <f>90+20</f>
        <v>110</v>
      </c>
      <c r="Z15" s="143">
        <f>9+9+9+6+12+29+7</f>
        <v>81</v>
      </c>
      <c r="AA15" s="13">
        <f t="shared" si="27"/>
        <v>149</v>
      </c>
      <c r="AB15" s="62">
        <v>20</v>
      </c>
      <c r="AC15" s="143">
        <f>12+2+1+2+1+2+1+4</f>
        <v>25</v>
      </c>
      <c r="AD15" s="13">
        <f t="shared" si="28"/>
        <v>144</v>
      </c>
      <c r="AE15" s="62">
        <v>135</v>
      </c>
      <c r="AF15" s="143">
        <f>30+5+27+2</f>
        <v>64</v>
      </c>
      <c r="AG15" s="13">
        <f t="shared" si="29"/>
        <v>215</v>
      </c>
      <c r="AH15" s="62"/>
      <c r="AI15" s="199"/>
      <c r="AJ15" s="13">
        <f t="shared" si="30"/>
        <v>215</v>
      </c>
      <c r="AK15" s="61">
        <v>90</v>
      </c>
      <c r="AL15" s="143">
        <f>20+2</f>
        <v>22</v>
      </c>
      <c r="AM15" s="13">
        <f t="shared" si="6"/>
        <v>283</v>
      </c>
      <c r="AN15" s="61">
        <v>45</v>
      </c>
      <c r="AO15" s="143">
        <f>6+8+10+7+7+18+5+4+7+7+23</f>
        <v>102</v>
      </c>
      <c r="AP15" s="13">
        <f t="shared" si="7"/>
        <v>226</v>
      </c>
      <c r="AQ15" s="61"/>
      <c r="AR15" s="143">
        <f>5+6+7+7</f>
        <v>25</v>
      </c>
      <c r="AS15" s="13">
        <f t="shared" si="8"/>
        <v>201</v>
      </c>
      <c r="AT15" s="202">
        <v>45</v>
      </c>
      <c r="AU15" s="143">
        <f>8+2+6+5+5+21+2</f>
        <v>49</v>
      </c>
      <c r="AV15" s="13">
        <f t="shared" si="9"/>
        <v>197</v>
      </c>
      <c r="AW15" s="64">
        <v>15</v>
      </c>
      <c r="AX15" s="143">
        <f>8+2+1+2+6</f>
        <v>19</v>
      </c>
      <c r="AY15" s="13">
        <f t="shared" si="10"/>
        <v>193</v>
      </c>
      <c r="AZ15" s="62"/>
      <c r="BA15" s="143">
        <f>20+9+8+7+36+2</f>
        <v>82</v>
      </c>
      <c r="BB15" s="13">
        <f t="shared" si="11"/>
        <v>111</v>
      </c>
      <c r="BC15" s="62"/>
      <c r="BD15" s="143"/>
      <c r="BE15" s="13">
        <f t="shared" si="12"/>
        <v>111</v>
      </c>
      <c r="BF15" s="62">
        <f>45+10</f>
        <v>55</v>
      </c>
      <c r="BG15" s="143">
        <f>11+9+6+9+12+2+3</f>
        <v>52</v>
      </c>
      <c r="BH15" s="13">
        <f t="shared" si="13"/>
        <v>114</v>
      </c>
      <c r="BI15" s="62">
        <v>135</v>
      </c>
      <c r="BJ15" s="143">
        <f>13+9+7+20+4+9+14+19+2</f>
        <v>97</v>
      </c>
      <c r="BK15" s="13">
        <f t="shared" si="14"/>
        <v>152</v>
      </c>
      <c r="BL15" s="62"/>
      <c r="BM15" s="143">
        <f>9+7+10</f>
        <v>26</v>
      </c>
      <c r="BN15" s="13">
        <f t="shared" si="15"/>
        <v>126</v>
      </c>
      <c r="BO15" s="62"/>
      <c r="BP15" s="143">
        <f>1+12+7+9+9+9+7+4+20+2</f>
        <v>80</v>
      </c>
      <c r="BQ15" s="13">
        <f t="shared" si="16"/>
        <v>46</v>
      </c>
      <c r="BR15" s="62">
        <f>90+20</f>
        <v>110</v>
      </c>
      <c r="BS15" s="143">
        <f>12+2+2+1+11</f>
        <v>28</v>
      </c>
      <c r="BT15" s="13">
        <f t="shared" si="17"/>
        <v>128</v>
      </c>
      <c r="BU15" s="62">
        <v>90</v>
      </c>
      <c r="BV15" s="143">
        <f>30+7+9+19+2</f>
        <v>67</v>
      </c>
      <c r="BW15" s="13">
        <f t="shared" si="18"/>
        <v>151</v>
      </c>
      <c r="BX15" s="62"/>
      <c r="BY15" s="143"/>
      <c r="BZ15" s="13">
        <f t="shared" si="19"/>
        <v>151</v>
      </c>
      <c r="CA15" s="62">
        <v>45</v>
      </c>
      <c r="CB15" s="143">
        <f>13+9+7+9+10+9+5+7</f>
        <v>69</v>
      </c>
      <c r="CC15" s="13">
        <f t="shared" si="20"/>
        <v>127</v>
      </c>
      <c r="CD15" s="61">
        <f>90+20</f>
        <v>110</v>
      </c>
      <c r="CE15" s="143">
        <f>1+20+10+15+15+6+32+19+4</f>
        <v>122</v>
      </c>
      <c r="CF15" s="13">
        <f t="shared" si="21"/>
        <v>115</v>
      </c>
      <c r="CG15" s="62"/>
      <c r="CH15" s="143">
        <f>9</f>
        <v>9</v>
      </c>
      <c r="CI15" s="13">
        <f t="shared" si="31"/>
        <v>106</v>
      </c>
      <c r="CJ15" s="61"/>
      <c r="CK15" s="143">
        <f>20+6+9+2+8+7+2</f>
        <v>54</v>
      </c>
      <c r="CL15" s="13">
        <f t="shared" si="32"/>
        <v>52</v>
      </c>
      <c r="CM15" s="62">
        <f>45+17</f>
        <v>62</v>
      </c>
      <c r="CN15" s="143">
        <f>2+2+8+3</f>
        <v>15</v>
      </c>
      <c r="CO15" s="13">
        <f t="shared" si="22"/>
        <v>99</v>
      </c>
      <c r="CP15" s="62">
        <v>45</v>
      </c>
      <c r="CQ15" s="143">
        <f>30+7+10+4</f>
        <v>51</v>
      </c>
      <c r="CR15" s="13">
        <f t="shared" si="33"/>
        <v>93</v>
      </c>
      <c r="CS15" s="62"/>
      <c r="CT15" s="143"/>
      <c r="CU15" s="14">
        <f t="shared" si="23"/>
        <v>93</v>
      </c>
      <c r="CV15" s="5">
        <f t="shared" si="24"/>
        <v>1442</v>
      </c>
      <c r="CW15" s="4">
        <f t="shared" si="24"/>
        <v>1393</v>
      </c>
      <c r="CX15" s="6">
        <f t="shared" si="25"/>
        <v>93</v>
      </c>
      <c r="CY15" s="162">
        <v>71</v>
      </c>
      <c r="CZ15" s="171">
        <f t="shared" si="26"/>
        <v>6603</v>
      </c>
      <c r="DB15" s="2">
        <f t="shared" si="34"/>
        <v>93</v>
      </c>
      <c r="DC15" s="61"/>
      <c r="DD15" s="143"/>
      <c r="DE15" s="149">
        <f t="shared" si="35"/>
        <v>93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8</v>
      </c>
      <c r="E16" s="34" t="s">
        <v>41</v>
      </c>
      <c r="F16" s="14">
        <v>18</v>
      </c>
      <c r="G16" s="176">
        <v>43</v>
      </c>
      <c r="H16" s="143">
        <f>5+1+1+1+5+2</f>
        <v>15</v>
      </c>
      <c r="I16" s="13">
        <f t="shared" si="0"/>
        <v>46</v>
      </c>
      <c r="J16" s="176"/>
      <c r="K16" s="143">
        <f>5+7</f>
        <v>12</v>
      </c>
      <c r="L16" s="13">
        <f t="shared" si="1"/>
        <v>34</v>
      </c>
      <c r="M16" s="176"/>
      <c r="N16" s="143"/>
      <c r="O16" s="13">
        <f t="shared" si="2"/>
        <v>34</v>
      </c>
      <c r="P16" s="176">
        <v>9</v>
      </c>
      <c r="Q16" s="143">
        <f>8+4+4+4+4+2</f>
        <v>26</v>
      </c>
      <c r="R16" s="30">
        <f t="shared" si="3"/>
        <v>17</v>
      </c>
      <c r="S16" s="176">
        <v>30</v>
      </c>
      <c r="T16" s="143">
        <f>4+3</f>
        <v>7</v>
      </c>
      <c r="U16" s="13">
        <f t="shared" si="4"/>
        <v>40</v>
      </c>
      <c r="V16" s="176"/>
      <c r="W16" s="143">
        <f>22</f>
        <v>22</v>
      </c>
      <c r="X16" s="13">
        <f t="shared" si="5"/>
        <v>18</v>
      </c>
      <c r="Y16" s="176">
        <v>8</v>
      </c>
      <c r="Z16" s="143">
        <f>8+2</f>
        <v>10</v>
      </c>
      <c r="AA16" s="13">
        <f t="shared" si="27"/>
        <v>16</v>
      </c>
      <c r="AB16" s="176">
        <v>9</v>
      </c>
      <c r="AC16" s="143">
        <f>2+2+1+1</f>
        <v>6</v>
      </c>
      <c r="AD16" s="13">
        <f t="shared" si="28"/>
        <v>19</v>
      </c>
      <c r="AE16" s="176">
        <v>20</v>
      </c>
      <c r="AF16" s="143">
        <f>5+4+4</f>
        <v>13</v>
      </c>
      <c r="AG16" s="13">
        <f t="shared" si="29"/>
        <v>26</v>
      </c>
      <c r="AH16" s="176"/>
      <c r="AI16" s="199"/>
      <c r="AJ16" s="13">
        <f t="shared" si="30"/>
        <v>26</v>
      </c>
      <c r="AK16" s="63"/>
      <c r="AL16" s="143">
        <f>2</f>
        <v>2</v>
      </c>
      <c r="AM16" s="13">
        <f t="shared" si="6"/>
        <v>24</v>
      </c>
      <c r="AN16" s="63">
        <v>10</v>
      </c>
      <c r="AO16" s="143">
        <f>3+2+7+4+4</f>
        <v>20</v>
      </c>
      <c r="AP16" s="13">
        <f t="shared" si="7"/>
        <v>14</v>
      </c>
      <c r="AQ16" s="63">
        <v>15</v>
      </c>
      <c r="AR16" s="143">
        <f>2</f>
        <v>2</v>
      </c>
      <c r="AS16" s="13">
        <f t="shared" si="8"/>
        <v>27</v>
      </c>
      <c r="AT16" s="63"/>
      <c r="AU16" s="143">
        <f>4+5+2</f>
        <v>11</v>
      </c>
      <c r="AV16" s="13">
        <f t="shared" si="9"/>
        <v>16</v>
      </c>
      <c r="AW16" s="176"/>
      <c r="AX16" s="143">
        <f>1+1+1+2</f>
        <v>5</v>
      </c>
      <c r="AY16" s="13">
        <f t="shared" si="10"/>
        <v>11</v>
      </c>
      <c r="AZ16" s="176">
        <v>20</v>
      </c>
      <c r="BA16" s="143">
        <f>5+4</f>
        <v>9</v>
      </c>
      <c r="BB16" s="13">
        <f t="shared" si="11"/>
        <v>22</v>
      </c>
      <c r="BC16" s="176"/>
      <c r="BD16" s="143"/>
      <c r="BE16" s="13">
        <f t="shared" si="12"/>
        <v>22</v>
      </c>
      <c r="BF16" s="176">
        <v>13</v>
      </c>
      <c r="BG16" s="143">
        <f>8+4+2</f>
        <v>14</v>
      </c>
      <c r="BH16" s="13">
        <f t="shared" si="13"/>
        <v>21</v>
      </c>
      <c r="BI16" s="176">
        <v>30</v>
      </c>
      <c r="BJ16" s="143">
        <f>4+5+4</f>
        <v>13</v>
      </c>
      <c r="BK16" s="13">
        <f t="shared" si="14"/>
        <v>38</v>
      </c>
      <c r="BL16" s="176"/>
      <c r="BM16" s="143">
        <f>7+22</f>
        <v>29</v>
      </c>
      <c r="BN16" s="13">
        <f t="shared" si="15"/>
        <v>9</v>
      </c>
      <c r="BO16" s="176">
        <v>10</v>
      </c>
      <c r="BP16" s="143"/>
      <c r="BQ16" s="13">
        <f t="shared" si="16"/>
        <v>19</v>
      </c>
      <c r="BR16" s="176"/>
      <c r="BS16" s="143">
        <f>2+2+1+1</f>
        <v>6</v>
      </c>
      <c r="BT16" s="13">
        <f t="shared" si="17"/>
        <v>13</v>
      </c>
      <c r="BU16" s="176">
        <v>30</v>
      </c>
      <c r="BV16" s="143">
        <v>8</v>
      </c>
      <c r="BW16" s="13">
        <f t="shared" si="18"/>
        <v>35</v>
      </c>
      <c r="BX16" s="176"/>
      <c r="BY16" s="143"/>
      <c r="BZ16" s="13">
        <f t="shared" si="19"/>
        <v>35</v>
      </c>
      <c r="CA16" s="176">
        <v>17</v>
      </c>
      <c r="CB16" s="143">
        <f>5+19+2</f>
        <v>26</v>
      </c>
      <c r="CC16" s="13">
        <f t="shared" si="20"/>
        <v>26</v>
      </c>
      <c r="CD16" s="63">
        <v>30</v>
      </c>
      <c r="CE16" s="143">
        <f>8+3+5+2+1</f>
        <v>19</v>
      </c>
      <c r="CF16" s="13">
        <f t="shared" si="21"/>
        <v>37</v>
      </c>
      <c r="CG16" s="176"/>
      <c r="CH16" s="143">
        <f>4+3+3</f>
        <v>10</v>
      </c>
      <c r="CI16" s="13">
        <f t="shared" si="31"/>
        <v>27</v>
      </c>
      <c r="CJ16" s="63">
        <v>15</v>
      </c>
      <c r="CK16" s="143">
        <f>2+8+4+4+2</f>
        <v>20</v>
      </c>
      <c r="CL16" s="13">
        <f t="shared" si="32"/>
        <v>22</v>
      </c>
      <c r="CM16" s="176"/>
      <c r="CN16" s="143">
        <f>1+1+1+1+10</f>
        <v>14</v>
      </c>
      <c r="CO16" s="13">
        <f t="shared" si="22"/>
        <v>8</v>
      </c>
      <c r="CP16" s="176">
        <v>25</v>
      </c>
      <c r="CQ16" s="143">
        <v>6</v>
      </c>
      <c r="CR16" s="13">
        <f t="shared" si="33"/>
        <v>27</v>
      </c>
      <c r="CS16" s="176"/>
      <c r="CT16" s="143"/>
      <c r="CU16" s="14">
        <f t="shared" si="23"/>
        <v>27</v>
      </c>
      <c r="CV16" s="5">
        <f t="shared" si="24"/>
        <v>334</v>
      </c>
      <c r="CW16" s="4">
        <f t="shared" si="24"/>
        <v>325</v>
      </c>
      <c r="CX16" s="6">
        <f t="shared" si="25"/>
        <v>27</v>
      </c>
      <c r="CY16" s="162">
        <v>110</v>
      </c>
      <c r="CZ16" s="171">
        <f t="shared" si="26"/>
        <v>2970</v>
      </c>
      <c r="DB16" s="2">
        <f t="shared" si="34"/>
        <v>27</v>
      </c>
      <c r="DC16" s="63"/>
      <c r="DD16" s="143"/>
      <c r="DE16" s="149">
        <f t="shared" si="35"/>
        <v>27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30</v>
      </c>
      <c r="G17" s="62">
        <f>15+20+15-8+5</f>
        <v>47</v>
      </c>
      <c r="H17" s="143">
        <f>3+14+2</f>
        <v>19</v>
      </c>
      <c r="I17" s="13">
        <f t="shared" si="0"/>
        <v>58</v>
      </c>
      <c r="J17" s="62">
        <f>-4+15+15+15</f>
        <v>41</v>
      </c>
      <c r="K17" s="143">
        <f>9+49</f>
        <v>58</v>
      </c>
      <c r="L17" s="13">
        <f t="shared" si="1"/>
        <v>41</v>
      </c>
      <c r="M17" s="62"/>
      <c r="N17" s="143"/>
      <c r="O17" s="13">
        <f t="shared" si="2"/>
        <v>41</v>
      </c>
      <c r="P17" s="62">
        <v>15</v>
      </c>
      <c r="Q17" s="143">
        <f>6+14</f>
        <v>20</v>
      </c>
      <c r="R17" s="30">
        <f t="shared" si="3"/>
        <v>36</v>
      </c>
      <c r="S17" s="62">
        <v>15</v>
      </c>
      <c r="T17" s="143">
        <v>22</v>
      </c>
      <c r="U17" s="13">
        <f t="shared" si="4"/>
        <v>29</v>
      </c>
      <c r="V17" s="62"/>
      <c r="W17" s="143"/>
      <c r="X17" s="13">
        <f t="shared" si="5"/>
        <v>29</v>
      </c>
      <c r="Y17" s="62">
        <f>15+13</f>
        <v>28</v>
      </c>
      <c r="Z17" s="143">
        <f>3+21+1</f>
        <v>25</v>
      </c>
      <c r="AA17" s="13">
        <f t="shared" si="27"/>
        <v>32</v>
      </c>
      <c r="AB17" s="62">
        <f>15+30</f>
        <v>45</v>
      </c>
      <c r="AC17" s="143">
        <f>3+16+3</f>
        <v>22</v>
      </c>
      <c r="AD17" s="13">
        <f t="shared" si="28"/>
        <v>55</v>
      </c>
      <c r="AE17" s="62">
        <f>15+30</f>
        <v>45</v>
      </c>
      <c r="AF17" s="143">
        <f>8+42</f>
        <v>50</v>
      </c>
      <c r="AG17" s="13">
        <f t="shared" si="29"/>
        <v>50</v>
      </c>
      <c r="AH17" s="62"/>
      <c r="AI17" s="199"/>
      <c r="AJ17" s="13">
        <f t="shared" si="30"/>
        <v>50</v>
      </c>
      <c r="AK17" s="61">
        <f>15+40</f>
        <v>55</v>
      </c>
      <c r="AL17" s="143">
        <f>2+31+3+1+7</f>
        <v>44</v>
      </c>
      <c r="AM17" s="13">
        <f t="shared" si="6"/>
        <v>61</v>
      </c>
      <c r="AN17" s="61">
        <f>15+30+30+40</f>
        <v>115</v>
      </c>
      <c r="AO17" s="143">
        <f>4+40</f>
        <v>44</v>
      </c>
      <c r="AP17" s="13">
        <f t="shared" si="7"/>
        <v>132</v>
      </c>
      <c r="AQ17" s="61">
        <v>0</v>
      </c>
      <c r="AR17" s="143"/>
      <c r="AS17" s="13">
        <f t="shared" si="8"/>
        <v>132</v>
      </c>
      <c r="AT17" s="61">
        <v>0</v>
      </c>
      <c r="AU17" s="143">
        <f>2+33+5</f>
        <v>40</v>
      </c>
      <c r="AV17" s="13">
        <f t="shared" si="9"/>
        <v>92</v>
      </c>
      <c r="AW17" s="62"/>
      <c r="AX17" s="143">
        <f>4+27+1</f>
        <v>32</v>
      </c>
      <c r="AY17" s="13">
        <f t="shared" si="10"/>
        <v>60</v>
      </c>
      <c r="AZ17" s="62">
        <f>15+15</f>
        <v>30</v>
      </c>
      <c r="BA17" s="143">
        <f>5+42+8+2</f>
        <v>57</v>
      </c>
      <c r="BB17" s="13">
        <f t="shared" si="11"/>
        <v>33</v>
      </c>
      <c r="BC17" s="62"/>
      <c r="BD17" s="143"/>
      <c r="BE17" s="13">
        <f t="shared" si="12"/>
        <v>33</v>
      </c>
      <c r="BF17" s="62">
        <f>15+10</f>
        <v>25</v>
      </c>
      <c r="BG17" s="143">
        <f>3+18</f>
        <v>21</v>
      </c>
      <c r="BH17" s="13">
        <f t="shared" si="13"/>
        <v>37</v>
      </c>
      <c r="BI17" s="62">
        <v>15</v>
      </c>
      <c r="BJ17" s="143">
        <f>4+17</f>
        <v>21</v>
      </c>
      <c r="BK17" s="13">
        <f t="shared" si="14"/>
        <v>31</v>
      </c>
      <c r="BL17" s="62"/>
      <c r="BM17" s="143"/>
      <c r="BN17" s="13">
        <f t="shared" si="15"/>
        <v>31</v>
      </c>
      <c r="BO17" s="62">
        <f>15+15</f>
        <v>30</v>
      </c>
      <c r="BP17" s="143">
        <f>2+19</f>
        <v>21</v>
      </c>
      <c r="BQ17" s="13">
        <f t="shared" si="16"/>
        <v>40</v>
      </c>
      <c r="BR17" s="62">
        <f>15+10+10</f>
        <v>35</v>
      </c>
      <c r="BS17" s="143">
        <f>20+1</f>
        <v>21</v>
      </c>
      <c r="BT17" s="13">
        <f t="shared" si="17"/>
        <v>54</v>
      </c>
      <c r="BU17" s="62">
        <f>-10+15+20+10</f>
        <v>35</v>
      </c>
      <c r="BV17" s="143">
        <f>6+45+3</f>
        <v>54</v>
      </c>
      <c r="BW17" s="13">
        <f t="shared" si="18"/>
        <v>35</v>
      </c>
      <c r="BX17" s="62"/>
      <c r="BY17" s="143"/>
      <c r="BZ17" s="13">
        <f t="shared" si="19"/>
        <v>35</v>
      </c>
      <c r="CA17" s="62">
        <f>15+15</f>
        <v>30</v>
      </c>
      <c r="CB17" s="143">
        <f>5+10</f>
        <v>15</v>
      </c>
      <c r="CC17" s="13">
        <f t="shared" si="20"/>
        <v>50</v>
      </c>
      <c r="CD17" s="61">
        <v>15</v>
      </c>
      <c r="CE17" s="143">
        <f>4+21+5</f>
        <v>30</v>
      </c>
      <c r="CF17" s="13">
        <f t="shared" si="21"/>
        <v>35</v>
      </c>
      <c r="CG17" s="62"/>
      <c r="CH17" s="143"/>
      <c r="CI17" s="13">
        <f t="shared" si="31"/>
        <v>35</v>
      </c>
      <c r="CJ17" s="61">
        <v>15</v>
      </c>
      <c r="CK17" s="143">
        <f>4+6</f>
        <v>10</v>
      </c>
      <c r="CL17" s="13">
        <f t="shared" si="32"/>
        <v>40</v>
      </c>
      <c r="CM17" s="62">
        <f>15</f>
        <v>15</v>
      </c>
      <c r="CN17" s="143">
        <f>5+19</f>
        <v>24</v>
      </c>
      <c r="CO17" s="13">
        <f t="shared" si="22"/>
        <v>31</v>
      </c>
      <c r="CP17" s="62">
        <f>-25+15+25</f>
        <v>15</v>
      </c>
      <c r="CQ17" s="143">
        <f>2+29</f>
        <v>31</v>
      </c>
      <c r="CR17" s="13">
        <f t="shared" si="33"/>
        <v>15</v>
      </c>
      <c r="CS17" s="62"/>
      <c r="CT17" s="143"/>
      <c r="CU17" s="14">
        <f t="shared" si="23"/>
        <v>15</v>
      </c>
      <c r="CV17" s="5">
        <f t="shared" si="24"/>
        <v>666</v>
      </c>
      <c r="CW17" s="4">
        <f t="shared" si="24"/>
        <v>681</v>
      </c>
      <c r="CX17" s="6">
        <f t="shared" si="25"/>
        <v>15</v>
      </c>
      <c r="CY17" s="162">
        <v>200</v>
      </c>
      <c r="CZ17" s="171">
        <f t="shared" si="26"/>
        <v>3000</v>
      </c>
      <c r="DB17" s="2">
        <f t="shared" si="34"/>
        <v>15</v>
      </c>
      <c r="DC17" s="61"/>
      <c r="DD17" s="143"/>
      <c r="DE17" s="149">
        <f t="shared" si="35"/>
        <v>15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8.6000000000000014</v>
      </c>
      <c r="G18" s="62"/>
      <c r="H18" s="143">
        <f>7.2</f>
        <v>7.2</v>
      </c>
      <c r="I18" s="13">
        <f t="shared" si="0"/>
        <v>1.4000000000000012</v>
      </c>
      <c r="J18" s="62"/>
      <c r="K18" s="143"/>
      <c r="L18" s="13">
        <f t="shared" si="1"/>
        <v>1.4000000000000012</v>
      </c>
      <c r="M18" s="62"/>
      <c r="N18" s="143"/>
      <c r="O18" s="13">
        <f t="shared" si="2"/>
        <v>1.4000000000000012</v>
      </c>
      <c r="P18" s="62"/>
      <c r="Q18" s="143"/>
      <c r="R18" s="30">
        <f t="shared" si="3"/>
        <v>1.4000000000000012</v>
      </c>
      <c r="S18" s="62">
        <v>10</v>
      </c>
      <c r="T18" s="143"/>
      <c r="U18" s="13">
        <f t="shared" si="4"/>
        <v>11.400000000000002</v>
      </c>
      <c r="V18" s="62"/>
      <c r="W18" s="143">
        <f>2+1.4+3+1.6</f>
        <v>8</v>
      </c>
      <c r="X18" s="13">
        <f t="shared" si="5"/>
        <v>3.4000000000000021</v>
      </c>
      <c r="Y18" s="62"/>
      <c r="Z18" s="143">
        <f>2.3</f>
        <v>2.2999999999999998</v>
      </c>
      <c r="AA18" s="13">
        <f t="shared" si="27"/>
        <v>1.1000000000000023</v>
      </c>
      <c r="AB18" s="62"/>
      <c r="AC18" s="143"/>
      <c r="AD18" s="13">
        <f t="shared" si="28"/>
        <v>1.1000000000000023</v>
      </c>
      <c r="AE18" s="62"/>
      <c r="AF18" s="143"/>
      <c r="AG18" s="13">
        <f t="shared" si="29"/>
        <v>1.1000000000000023</v>
      </c>
      <c r="AH18" s="62"/>
      <c r="AI18" s="199"/>
      <c r="AJ18" s="13">
        <f t="shared" si="30"/>
        <v>1.1000000000000023</v>
      </c>
      <c r="AK18" s="61">
        <v>8</v>
      </c>
      <c r="AL18" s="143"/>
      <c r="AM18" s="13">
        <f t="shared" si="6"/>
        <v>9.1000000000000014</v>
      </c>
      <c r="AN18" s="61"/>
      <c r="AO18" s="143"/>
      <c r="AP18" s="13">
        <f t="shared" si="7"/>
        <v>9.1000000000000014</v>
      </c>
      <c r="AQ18" s="61">
        <v>2</v>
      </c>
      <c r="AR18" s="143">
        <f>3.2+3</f>
        <v>6.2</v>
      </c>
      <c r="AS18" s="13">
        <f t="shared" si="8"/>
        <v>4.9000000000000012</v>
      </c>
      <c r="AT18" s="183"/>
      <c r="AU18" s="143">
        <f>2.1+0.6</f>
        <v>2.7</v>
      </c>
      <c r="AV18" s="13">
        <f t="shared" si="9"/>
        <v>2.2000000000000011</v>
      </c>
      <c r="AW18" s="62"/>
      <c r="AX18" s="143"/>
      <c r="AY18" s="13">
        <f t="shared" si="10"/>
        <v>2.2000000000000011</v>
      </c>
      <c r="AZ18" s="62"/>
      <c r="BA18" s="143"/>
      <c r="BB18" s="13">
        <f t="shared" si="11"/>
        <v>2.2000000000000011</v>
      </c>
      <c r="BC18" s="62"/>
      <c r="BD18" s="143"/>
      <c r="BE18" s="13">
        <f t="shared" si="12"/>
        <v>2.2000000000000011</v>
      </c>
      <c r="BF18" s="62"/>
      <c r="BG18" s="143">
        <v>2.2000000000000002</v>
      </c>
      <c r="BH18" s="13">
        <f t="shared" si="13"/>
        <v>0</v>
      </c>
      <c r="BI18" s="62">
        <v>8</v>
      </c>
      <c r="BJ18" s="143"/>
      <c r="BK18" s="13">
        <f t="shared" si="14"/>
        <v>8</v>
      </c>
      <c r="BL18" s="62"/>
      <c r="BM18" s="143">
        <f>3.3+2</f>
        <v>5.3</v>
      </c>
      <c r="BN18" s="13">
        <f t="shared" si="15"/>
        <v>2.7</v>
      </c>
      <c r="BO18" s="62"/>
      <c r="BP18" s="143">
        <f>2</f>
        <v>2</v>
      </c>
      <c r="BQ18" s="13">
        <f t="shared" si="16"/>
        <v>0.70000000000000018</v>
      </c>
      <c r="BR18" s="62"/>
      <c r="BS18" s="143"/>
      <c r="BT18" s="13">
        <f t="shared" si="17"/>
        <v>0.70000000000000018</v>
      </c>
      <c r="BU18" s="62"/>
      <c r="BV18" s="143"/>
      <c r="BW18" s="13">
        <f t="shared" si="18"/>
        <v>0.70000000000000018</v>
      </c>
      <c r="BX18" s="62"/>
      <c r="BY18" s="143"/>
      <c r="BZ18" s="13">
        <f t="shared" si="19"/>
        <v>0.70000000000000018</v>
      </c>
      <c r="CA18" s="62"/>
      <c r="CB18" s="143"/>
      <c r="CC18" s="13">
        <f t="shared" si="20"/>
        <v>0.70000000000000018</v>
      </c>
      <c r="CD18" s="61">
        <f>4+1.8</f>
        <v>5.8</v>
      </c>
      <c r="CE18" s="143"/>
      <c r="CF18" s="13">
        <f t="shared" si="21"/>
        <v>6.5</v>
      </c>
      <c r="CG18" s="62"/>
      <c r="CH18" s="143"/>
      <c r="CI18" s="13">
        <f t="shared" si="31"/>
        <v>6.5</v>
      </c>
      <c r="CJ18" s="61">
        <v>4</v>
      </c>
      <c r="CK18" s="143">
        <v>0.9</v>
      </c>
      <c r="CL18" s="13">
        <f t="shared" si="32"/>
        <v>9.6</v>
      </c>
      <c r="CM18" s="62"/>
      <c r="CN18" s="143">
        <v>7.2</v>
      </c>
      <c r="CO18" s="13">
        <f t="shared" si="22"/>
        <v>2.3999999999999995</v>
      </c>
      <c r="CP18" s="62"/>
      <c r="CQ18" s="143"/>
      <c r="CR18" s="13">
        <f t="shared" si="33"/>
        <v>2.3999999999999995</v>
      </c>
      <c r="CS18" s="62"/>
      <c r="CT18" s="143"/>
      <c r="CU18" s="14">
        <f t="shared" si="23"/>
        <v>2.3999999999999995</v>
      </c>
      <c r="CV18" s="5">
        <f t="shared" si="24"/>
        <v>37.799999999999997</v>
      </c>
      <c r="CW18" s="4">
        <f t="shared" si="24"/>
        <v>44</v>
      </c>
      <c r="CX18" s="6">
        <f t="shared" si="25"/>
        <v>2.3999999999999995</v>
      </c>
      <c r="CY18" s="162">
        <v>500</v>
      </c>
      <c r="CZ18" s="171">
        <f t="shared" si="26"/>
        <v>1199.9999999999998</v>
      </c>
      <c r="DB18" s="2">
        <f t="shared" si="34"/>
        <v>2.3999999999999995</v>
      </c>
      <c r="DC18" s="61"/>
      <c r="DD18" s="143"/>
      <c r="DE18" s="149">
        <f t="shared" si="35"/>
        <v>2.3999999999999995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1.1000000000000001</v>
      </c>
      <c r="G19" s="62"/>
      <c r="H19" s="143"/>
      <c r="I19" s="13">
        <f t="shared" si="0"/>
        <v>1.1000000000000001</v>
      </c>
      <c r="J19" s="62"/>
      <c r="K19" s="143"/>
      <c r="L19" s="13">
        <f t="shared" si="1"/>
        <v>1.1000000000000001</v>
      </c>
      <c r="M19" s="62"/>
      <c r="N19" s="143"/>
      <c r="O19" s="13">
        <f t="shared" si="2"/>
        <v>1.1000000000000001</v>
      </c>
      <c r="P19" s="62"/>
      <c r="Q19" s="143"/>
      <c r="R19" s="30">
        <f t="shared" si="3"/>
        <v>1.1000000000000001</v>
      </c>
      <c r="S19" s="62"/>
      <c r="T19" s="143"/>
      <c r="U19" s="13">
        <f t="shared" si="4"/>
        <v>1.1000000000000001</v>
      </c>
      <c r="V19" s="62"/>
      <c r="W19" s="143">
        <f>0.2+0.5</f>
        <v>0.7</v>
      </c>
      <c r="X19" s="30">
        <f t="shared" si="5"/>
        <v>0.40000000000000013</v>
      </c>
      <c r="Y19" s="62"/>
      <c r="Z19" s="143"/>
      <c r="AA19" s="13">
        <f t="shared" si="27"/>
        <v>0.40000000000000013</v>
      </c>
      <c r="AB19" s="62"/>
      <c r="AC19" s="143"/>
      <c r="AD19" s="13">
        <f t="shared" si="28"/>
        <v>0.40000000000000013</v>
      </c>
      <c r="AE19" s="62"/>
      <c r="AF19" s="143"/>
      <c r="AG19" s="13">
        <f t="shared" si="29"/>
        <v>0.40000000000000013</v>
      </c>
      <c r="AH19" s="62"/>
      <c r="AI19" s="199"/>
      <c r="AJ19" s="13">
        <f t="shared" si="30"/>
        <v>0.40000000000000013</v>
      </c>
      <c r="AK19" s="61">
        <v>8</v>
      </c>
      <c r="AL19" s="143"/>
      <c r="AM19" s="13">
        <f t="shared" si="6"/>
        <v>8.4</v>
      </c>
      <c r="AN19" s="61"/>
      <c r="AO19" s="143"/>
      <c r="AP19" s="13">
        <f t="shared" si="7"/>
        <v>8.4</v>
      </c>
      <c r="AQ19" s="61">
        <v>2</v>
      </c>
      <c r="AR19" s="143"/>
      <c r="AS19" s="13">
        <f t="shared" si="8"/>
        <v>10.4</v>
      </c>
      <c r="AT19" s="183"/>
      <c r="AU19" s="143">
        <f>0.2</f>
        <v>0.2</v>
      </c>
      <c r="AV19" s="13">
        <f t="shared" si="9"/>
        <v>10.200000000000001</v>
      </c>
      <c r="AW19" s="62"/>
      <c r="AX19" s="143">
        <f>3.4</f>
        <v>3.4</v>
      </c>
      <c r="AY19" s="13">
        <f t="shared" si="10"/>
        <v>6.8000000000000007</v>
      </c>
      <c r="AZ19" s="62"/>
      <c r="BA19" s="143">
        <f>2.8</f>
        <v>2.8</v>
      </c>
      <c r="BB19" s="13">
        <f t="shared" si="11"/>
        <v>4.0000000000000009</v>
      </c>
      <c r="BC19" s="62"/>
      <c r="BD19" s="143"/>
      <c r="BE19" s="13">
        <f t="shared" si="12"/>
        <v>4.0000000000000009</v>
      </c>
      <c r="BF19" s="62"/>
      <c r="BG19" s="143"/>
      <c r="BH19" s="13">
        <f t="shared" si="13"/>
        <v>4.0000000000000009</v>
      </c>
      <c r="BI19" s="62"/>
      <c r="BJ19" s="143"/>
      <c r="BK19" s="13">
        <f t="shared" si="14"/>
        <v>4.0000000000000009</v>
      </c>
      <c r="BL19" s="62"/>
      <c r="BM19" s="143"/>
      <c r="BN19" s="13">
        <f t="shared" si="15"/>
        <v>4.0000000000000009</v>
      </c>
      <c r="BO19" s="62"/>
      <c r="BP19" s="143"/>
      <c r="BQ19" s="13">
        <f t="shared" si="16"/>
        <v>4.0000000000000009</v>
      </c>
      <c r="BR19" s="62"/>
      <c r="BS19" s="143">
        <f>0.8</f>
        <v>0.8</v>
      </c>
      <c r="BT19" s="13">
        <f t="shared" si="17"/>
        <v>3.2000000000000011</v>
      </c>
      <c r="BU19" s="62"/>
      <c r="BV19" s="143">
        <v>0.6</v>
      </c>
      <c r="BW19" s="13">
        <f t="shared" si="18"/>
        <v>2.600000000000001</v>
      </c>
      <c r="BX19" s="62"/>
      <c r="BY19" s="143"/>
      <c r="BZ19" s="13">
        <f t="shared" si="19"/>
        <v>2.600000000000001</v>
      </c>
      <c r="CA19" s="62"/>
      <c r="CB19" s="143"/>
      <c r="CC19" s="13">
        <f t="shared" si="20"/>
        <v>2.600000000000001</v>
      </c>
      <c r="CD19" s="61"/>
      <c r="CE19" s="143">
        <v>0.2</v>
      </c>
      <c r="CF19" s="13">
        <f t="shared" si="21"/>
        <v>2.4000000000000008</v>
      </c>
      <c r="CG19" s="62"/>
      <c r="CH19" s="143">
        <v>0.2</v>
      </c>
      <c r="CI19" s="13">
        <f t="shared" si="31"/>
        <v>2.2000000000000006</v>
      </c>
      <c r="CJ19" s="61"/>
      <c r="CK19" s="143"/>
      <c r="CL19" s="13">
        <f t="shared" si="32"/>
        <v>2.2000000000000006</v>
      </c>
      <c r="CM19" s="62">
        <v>4.8</v>
      </c>
      <c r="CN19" s="143"/>
      <c r="CO19" s="13">
        <f t="shared" si="22"/>
        <v>7</v>
      </c>
      <c r="CP19" s="62">
        <v>4</v>
      </c>
      <c r="CQ19" s="143">
        <v>2.7</v>
      </c>
      <c r="CR19" s="13">
        <f>CO19+CP19-CQ19</f>
        <v>8.3000000000000007</v>
      </c>
      <c r="CS19" s="62"/>
      <c r="CT19" s="143"/>
      <c r="CU19" s="14">
        <f t="shared" si="23"/>
        <v>8.3000000000000007</v>
      </c>
      <c r="CV19" s="5">
        <f t="shared" si="24"/>
        <v>18.8</v>
      </c>
      <c r="CW19" s="4">
        <f t="shared" si="24"/>
        <v>11.599999999999998</v>
      </c>
      <c r="CX19" s="6">
        <f t="shared" si="25"/>
        <v>8.3000000000000007</v>
      </c>
      <c r="CY19" s="162">
        <v>500</v>
      </c>
      <c r="CZ19" s="171">
        <f t="shared" si="26"/>
        <v>4150</v>
      </c>
      <c r="DB19" s="2">
        <f t="shared" si="34"/>
        <v>8.3000000000000007</v>
      </c>
      <c r="DC19" s="61"/>
      <c r="DD19" s="143"/>
      <c r="DE19" s="149">
        <f t="shared" si="35"/>
        <v>8.3000000000000007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1"/>
      <c r="AL20" s="143"/>
      <c r="AM20" s="13">
        <f t="shared" si="6"/>
        <v>0</v>
      </c>
      <c r="AN20" s="61"/>
      <c r="AO20" s="143"/>
      <c r="AP20" s="13">
        <f t="shared" si="7"/>
        <v>0</v>
      </c>
      <c r="AQ20" s="61"/>
      <c r="AR20" s="143"/>
      <c r="AS20" s="13">
        <f t="shared" si="8"/>
        <v>0</v>
      </c>
      <c r="AT20" s="61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1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1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1"/>
      <c r="AL21" s="143"/>
      <c r="AM21" s="13">
        <f t="shared" si="6"/>
        <v>0</v>
      </c>
      <c r="AN21" s="61"/>
      <c r="AO21" s="143"/>
      <c r="AP21" s="13">
        <f t="shared" si="7"/>
        <v>0</v>
      </c>
      <c r="AQ21" s="61"/>
      <c r="AR21" s="143"/>
      <c r="AS21" s="13">
        <f t="shared" si="8"/>
        <v>0</v>
      </c>
      <c r="AT21" s="61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1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1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4.0000000000000124</v>
      </c>
      <c r="G22" s="62">
        <f>-1+10</f>
        <v>9</v>
      </c>
      <c r="H22" s="143">
        <f>2.7+0.5+0.2</f>
        <v>3.4000000000000004</v>
      </c>
      <c r="I22" s="13">
        <f t="shared" si="0"/>
        <v>9.6000000000000121</v>
      </c>
      <c r="J22" s="62"/>
      <c r="K22" s="143">
        <f>0.2</f>
        <v>0.2</v>
      </c>
      <c r="L22" s="13">
        <f t="shared" si="1"/>
        <v>9.4000000000000128</v>
      </c>
      <c r="M22" s="62"/>
      <c r="N22" s="143"/>
      <c r="O22" s="13">
        <f t="shared" si="2"/>
        <v>9.4000000000000128</v>
      </c>
      <c r="P22" s="62"/>
      <c r="Q22" s="143">
        <f>0.2</f>
        <v>0.2</v>
      </c>
      <c r="R22" s="30">
        <f t="shared" si="3"/>
        <v>9.2000000000000135</v>
      </c>
      <c r="S22" s="62"/>
      <c r="T22" s="143">
        <f>0.2</f>
        <v>0.2</v>
      </c>
      <c r="U22" s="13">
        <f t="shared" si="4"/>
        <v>9.0000000000000142</v>
      </c>
      <c r="V22" s="62"/>
      <c r="W22" s="143"/>
      <c r="X22" s="13">
        <f t="shared" si="5"/>
        <v>9.0000000000000142</v>
      </c>
      <c r="Y22" s="62">
        <v>10</v>
      </c>
      <c r="Z22" s="143">
        <f>4.1+1.9+0.9</f>
        <v>6.9</v>
      </c>
      <c r="AA22" s="13">
        <f t="shared" si="27"/>
        <v>12.100000000000014</v>
      </c>
      <c r="AB22" s="62"/>
      <c r="AC22" s="143">
        <f>1.2+0.4+0.5</f>
        <v>2.1</v>
      </c>
      <c r="AD22" s="13">
        <f t="shared" si="28"/>
        <v>10.000000000000014</v>
      </c>
      <c r="AE22" s="62"/>
      <c r="AF22" s="143">
        <f>0.7+0.5</f>
        <v>1.2</v>
      </c>
      <c r="AG22" s="13">
        <f t="shared" si="29"/>
        <v>8.8000000000000149</v>
      </c>
      <c r="AH22" s="62"/>
      <c r="AI22" s="143"/>
      <c r="AJ22" s="13">
        <f t="shared" si="30"/>
        <v>8.8000000000000149</v>
      </c>
      <c r="AK22" s="61"/>
      <c r="AL22" s="143"/>
      <c r="AM22" s="13">
        <f t="shared" si="6"/>
        <v>8.8000000000000149</v>
      </c>
      <c r="AN22" s="61"/>
      <c r="AO22" s="143">
        <f>3.3+1.5</f>
        <v>4.8</v>
      </c>
      <c r="AP22" s="13">
        <f t="shared" si="7"/>
        <v>4.0000000000000151</v>
      </c>
      <c r="AQ22" s="61"/>
      <c r="AR22" s="143">
        <f>0.7</f>
        <v>0.7</v>
      </c>
      <c r="AS22" s="13">
        <f t="shared" si="8"/>
        <v>3.3000000000000149</v>
      </c>
      <c r="AT22" s="61"/>
      <c r="AU22" s="143"/>
      <c r="AV22" s="13">
        <f t="shared" si="9"/>
        <v>3.3000000000000149</v>
      </c>
      <c r="AW22" s="62">
        <v>10</v>
      </c>
      <c r="AX22" s="143">
        <f>0.5+0.4</f>
        <v>0.9</v>
      </c>
      <c r="AY22" s="13">
        <f t="shared" si="10"/>
        <v>12.400000000000015</v>
      </c>
      <c r="AZ22" s="62">
        <v>10</v>
      </c>
      <c r="BA22" s="143">
        <v>10</v>
      </c>
      <c r="BB22" s="13">
        <f t="shared" si="11"/>
        <v>12.400000000000013</v>
      </c>
      <c r="BC22" s="62"/>
      <c r="BD22" s="143"/>
      <c r="BE22" s="13">
        <f t="shared" si="12"/>
        <v>12.400000000000013</v>
      </c>
      <c r="BF22" s="62"/>
      <c r="BG22" s="143">
        <f>0.2</f>
        <v>0.2</v>
      </c>
      <c r="BH22" s="13">
        <f t="shared" si="13"/>
        <v>12.200000000000014</v>
      </c>
      <c r="BI22" s="62"/>
      <c r="BJ22" s="143">
        <f>0.8+0.2</f>
        <v>1</v>
      </c>
      <c r="BK22" s="13">
        <f t="shared" si="14"/>
        <v>11.200000000000014</v>
      </c>
      <c r="BL22" s="62"/>
      <c r="BM22" s="143">
        <f>0.2</f>
        <v>0.2</v>
      </c>
      <c r="BN22" s="13">
        <f t="shared" si="15"/>
        <v>11.000000000000014</v>
      </c>
      <c r="BO22" s="62">
        <v>10</v>
      </c>
      <c r="BP22" s="143">
        <f>0.2+4.1+1.5+1.9</f>
        <v>7.6999999999999993</v>
      </c>
      <c r="BQ22" s="13">
        <f t="shared" si="16"/>
        <v>13.300000000000015</v>
      </c>
      <c r="BR22" s="62"/>
      <c r="BS22" s="143">
        <f>3.5+2</f>
        <v>5.5</v>
      </c>
      <c r="BT22" s="13">
        <f t="shared" si="17"/>
        <v>7.8000000000000149</v>
      </c>
      <c r="BU22" s="62">
        <v>10</v>
      </c>
      <c r="BV22" s="143">
        <f>2.8+1.2</f>
        <v>4</v>
      </c>
      <c r="BW22" s="13">
        <f t="shared" si="18"/>
        <v>13.800000000000015</v>
      </c>
      <c r="BX22" s="62"/>
      <c r="BY22" s="143"/>
      <c r="BZ22" s="13">
        <f t="shared" si="19"/>
        <v>13.800000000000015</v>
      </c>
      <c r="CA22" s="62"/>
      <c r="CB22" s="143">
        <f>1.1+0.7</f>
        <v>1.8</v>
      </c>
      <c r="CC22" s="13">
        <f t="shared" si="20"/>
        <v>12.000000000000014</v>
      </c>
      <c r="CD22" s="62"/>
      <c r="CE22" s="143">
        <f>5.4</f>
        <v>5.4</v>
      </c>
      <c r="CF22" s="13">
        <f t="shared" si="21"/>
        <v>6.6000000000000139</v>
      </c>
      <c r="CG22" s="62"/>
      <c r="CH22" s="143">
        <f>1.3</f>
        <v>1.3</v>
      </c>
      <c r="CI22" s="13">
        <f t="shared" si="31"/>
        <v>5.300000000000014</v>
      </c>
      <c r="CJ22" s="62">
        <v>10</v>
      </c>
      <c r="CK22" s="143"/>
      <c r="CL22" s="13">
        <f t="shared" si="32"/>
        <v>15.300000000000015</v>
      </c>
      <c r="CM22" s="62"/>
      <c r="CN22" s="143">
        <f>2.7+0.6+0.2</f>
        <v>3.5000000000000004</v>
      </c>
      <c r="CO22" s="13">
        <f t="shared" si="22"/>
        <v>11.800000000000015</v>
      </c>
      <c r="CP22" s="62"/>
      <c r="CQ22" s="143"/>
      <c r="CR22" s="13">
        <f t="shared" si="33"/>
        <v>11.800000000000015</v>
      </c>
      <c r="CS22" s="62"/>
      <c r="CT22" s="143"/>
      <c r="CU22" s="14">
        <f t="shared" si="23"/>
        <v>11.800000000000015</v>
      </c>
      <c r="CV22" s="5">
        <f t="shared" si="24"/>
        <v>69</v>
      </c>
      <c r="CW22" s="4">
        <f t="shared" si="24"/>
        <v>61.199999999999989</v>
      </c>
      <c r="CX22" s="6">
        <f t="shared" si="25"/>
        <v>11.800000000000015</v>
      </c>
      <c r="CY22" s="162">
        <v>250</v>
      </c>
      <c r="CZ22" s="171">
        <f t="shared" si="26"/>
        <v>2950.0000000000036</v>
      </c>
      <c r="DB22" s="2">
        <f t="shared" si="34"/>
        <v>11.800000000000015</v>
      </c>
      <c r="DC22" s="62"/>
      <c r="DD22" s="143"/>
      <c r="DE22" s="149">
        <f t="shared" si="35"/>
        <v>11.800000000000015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19</v>
      </c>
      <c r="G23" s="62">
        <v>30</v>
      </c>
      <c r="H23" s="143">
        <v>8</v>
      </c>
      <c r="I23" s="13">
        <f t="shared" si="0"/>
        <v>41</v>
      </c>
      <c r="J23" s="62"/>
      <c r="K23" s="143">
        <v>10</v>
      </c>
      <c r="L23" s="13">
        <f t="shared" si="1"/>
        <v>31</v>
      </c>
      <c r="M23" s="62"/>
      <c r="N23" s="143"/>
      <c r="O23" s="13">
        <f t="shared" si="2"/>
        <v>31</v>
      </c>
      <c r="P23" s="62"/>
      <c r="Q23" s="143">
        <f>1+12</f>
        <v>13</v>
      </c>
      <c r="R23" s="13">
        <f t="shared" si="3"/>
        <v>18</v>
      </c>
      <c r="S23" s="62">
        <f>-10+30</f>
        <v>20</v>
      </c>
      <c r="T23" s="143">
        <f>1+16</f>
        <v>17</v>
      </c>
      <c r="U23" s="13">
        <f t="shared" si="4"/>
        <v>21</v>
      </c>
      <c r="V23" s="62"/>
      <c r="W23" s="143"/>
      <c r="X23" s="13">
        <f t="shared" si="5"/>
        <v>21</v>
      </c>
      <c r="Y23" s="62">
        <v>30</v>
      </c>
      <c r="Z23" s="143">
        <f>1+8</f>
        <v>9</v>
      </c>
      <c r="AA23" s="13">
        <f t="shared" si="27"/>
        <v>42</v>
      </c>
      <c r="AB23" s="62"/>
      <c r="AC23" s="143">
        <f>10</f>
        <v>10</v>
      </c>
      <c r="AD23" s="13">
        <f t="shared" si="28"/>
        <v>32</v>
      </c>
      <c r="AE23" s="62">
        <v>30</v>
      </c>
      <c r="AF23" s="143">
        <f>10</f>
        <v>10</v>
      </c>
      <c r="AG23" s="13">
        <f t="shared" si="29"/>
        <v>52</v>
      </c>
      <c r="AH23" s="62"/>
      <c r="AI23" s="143"/>
      <c r="AJ23" s="13">
        <f t="shared" si="30"/>
        <v>52</v>
      </c>
      <c r="AK23" s="61">
        <v>30</v>
      </c>
      <c r="AL23" s="143">
        <f>26</f>
        <v>26</v>
      </c>
      <c r="AM23" s="13">
        <f t="shared" si="6"/>
        <v>56</v>
      </c>
      <c r="AN23" s="61"/>
      <c r="AO23" s="143">
        <f>12</f>
        <v>12</v>
      </c>
      <c r="AP23" s="13">
        <f t="shared" si="7"/>
        <v>44</v>
      </c>
      <c r="AQ23" s="61"/>
      <c r="AR23" s="143"/>
      <c r="AS23" s="13">
        <f t="shared" si="8"/>
        <v>44</v>
      </c>
      <c r="AT23" s="61"/>
      <c r="AU23" s="143">
        <f>22</f>
        <v>22</v>
      </c>
      <c r="AV23" s="13">
        <f t="shared" si="9"/>
        <v>22</v>
      </c>
      <c r="AW23" s="62"/>
      <c r="AX23" s="143">
        <v>10</v>
      </c>
      <c r="AY23" s="13">
        <f t="shared" si="10"/>
        <v>12</v>
      </c>
      <c r="AZ23" s="62">
        <v>30</v>
      </c>
      <c r="BA23" s="143">
        <v>8</v>
      </c>
      <c r="BB23" s="13">
        <f t="shared" si="11"/>
        <v>34</v>
      </c>
      <c r="BC23" s="62"/>
      <c r="BD23" s="143"/>
      <c r="BE23" s="13">
        <f t="shared" si="12"/>
        <v>34</v>
      </c>
      <c r="BF23" s="62"/>
      <c r="BG23" s="143">
        <v>8</v>
      </c>
      <c r="BH23" s="13">
        <f t="shared" si="13"/>
        <v>26</v>
      </c>
      <c r="BI23" s="62">
        <v>30</v>
      </c>
      <c r="BJ23" s="143">
        <f>1+18</f>
        <v>19</v>
      </c>
      <c r="BK23" s="13">
        <f t="shared" si="14"/>
        <v>37</v>
      </c>
      <c r="BL23" s="62"/>
      <c r="BM23" s="143">
        <f>1</f>
        <v>1</v>
      </c>
      <c r="BN23" s="13">
        <f t="shared" si="15"/>
        <v>36</v>
      </c>
      <c r="BO23" s="62"/>
      <c r="BP23" s="143">
        <f>1+2</f>
        <v>3</v>
      </c>
      <c r="BQ23" s="13">
        <f t="shared" si="16"/>
        <v>33</v>
      </c>
      <c r="BR23" s="62">
        <v>30</v>
      </c>
      <c r="BS23" s="143">
        <v>16</v>
      </c>
      <c r="BT23" s="13">
        <f t="shared" si="17"/>
        <v>47</v>
      </c>
      <c r="BU23" s="62"/>
      <c r="BV23" s="143">
        <f>5+18</f>
        <v>23</v>
      </c>
      <c r="BW23" s="13">
        <f t="shared" si="18"/>
        <v>24</v>
      </c>
      <c r="BX23" s="62"/>
      <c r="BY23" s="143"/>
      <c r="BZ23" s="13">
        <f t="shared" si="19"/>
        <v>24</v>
      </c>
      <c r="CA23" s="62">
        <v>30</v>
      </c>
      <c r="CB23" s="143">
        <f>4</f>
        <v>4</v>
      </c>
      <c r="CC23" s="13">
        <f t="shared" si="20"/>
        <v>50</v>
      </c>
      <c r="CD23" s="61"/>
      <c r="CE23" s="143">
        <f>1+6</f>
        <v>7</v>
      </c>
      <c r="CF23" s="13">
        <f t="shared" si="21"/>
        <v>43</v>
      </c>
      <c r="CG23" s="62"/>
      <c r="CH23" s="143"/>
      <c r="CI23" s="13">
        <f t="shared" si="31"/>
        <v>43</v>
      </c>
      <c r="CJ23" s="61"/>
      <c r="CK23" s="143">
        <v>8</v>
      </c>
      <c r="CL23" s="13">
        <f t="shared" si="32"/>
        <v>35</v>
      </c>
      <c r="CM23" s="62"/>
      <c r="CN23" s="143">
        <f>2</f>
        <v>2</v>
      </c>
      <c r="CO23" s="13">
        <f t="shared" si="22"/>
        <v>33</v>
      </c>
      <c r="CP23" s="62"/>
      <c r="CQ23" s="143">
        <v>8</v>
      </c>
      <c r="CR23" s="13">
        <f t="shared" si="33"/>
        <v>25</v>
      </c>
      <c r="CS23" s="62"/>
      <c r="CT23" s="143"/>
      <c r="CU23" s="14">
        <f t="shared" si="23"/>
        <v>25</v>
      </c>
      <c r="CV23" s="5">
        <f t="shared" si="24"/>
        <v>260</v>
      </c>
      <c r="CW23" s="4">
        <f t="shared" si="24"/>
        <v>254</v>
      </c>
      <c r="CX23" s="6">
        <f t="shared" si="25"/>
        <v>25</v>
      </c>
      <c r="CY23" s="162">
        <v>180</v>
      </c>
      <c r="CZ23" s="171">
        <f t="shared" si="26"/>
        <v>4500</v>
      </c>
      <c r="DB23" s="2">
        <f t="shared" si="34"/>
        <v>25</v>
      </c>
      <c r="DC23" s="61"/>
      <c r="DD23" s="143"/>
      <c r="DE23" s="149">
        <f t="shared" si="35"/>
        <v>25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7</v>
      </c>
      <c r="G24" s="62">
        <v>9</v>
      </c>
      <c r="H24" s="143"/>
      <c r="I24" s="13">
        <f t="shared" si="0"/>
        <v>16</v>
      </c>
      <c r="J24" s="62"/>
      <c r="K24" s="143"/>
      <c r="L24" s="13">
        <f t="shared" si="1"/>
        <v>16</v>
      </c>
      <c r="M24" s="62"/>
      <c r="N24" s="143"/>
      <c r="O24" s="13">
        <f t="shared" si="2"/>
        <v>16</v>
      </c>
      <c r="P24" s="62">
        <v>6</v>
      </c>
      <c r="Q24" s="143">
        <f>6+8</f>
        <v>14</v>
      </c>
      <c r="R24" s="30">
        <f t="shared" si="3"/>
        <v>8</v>
      </c>
      <c r="S24" s="62"/>
      <c r="T24" s="143"/>
      <c r="U24" s="13">
        <f t="shared" si="4"/>
        <v>8</v>
      </c>
      <c r="V24" s="62"/>
      <c r="W24" s="143"/>
      <c r="X24" s="13">
        <f t="shared" si="5"/>
        <v>8</v>
      </c>
      <c r="Y24" s="62"/>
      <c r="Z24" s="143">
        <v>8</v>
      </c>
      <c r="AA24" s="13">
        <f t="shared" si="27"/>
        <v>0</v>
      </c>
      <c r="AB24" s="62"/>
      <c r="AC24" s="143"/>
      <c r="AD24" s="13">
        <f t="shared" si="28"/>
        <v>0</v>
      </c>
      <c r="AE24" s="62"/>
      <c r="AF24" s="143"/>
      <c r="AG24" s="13">
        <f t="shared" si="29"/>
        <v>0</v>
      </c>
      <c r="AH24" s="62"/>
      <c r="AI24" s="143"/>
      <c r="AJ24" s="13">
        <f t="shared" si="30"/>
        <v>0</v>
      </c>
      <c r="AK24" s="61"/>
      <c r="AL24" s="143"/>
      <c r="AM24" s="13">
        <f t="shared" si="6"/>
        <v>0</v>
      </c>
      <c r="AN24" s="61"/>
      <c r="AO24" s="143"/>
      <c r="AP24" s="13">
        <f t="shared" si="7"/>
        <v>0</v>
      </c>
      <c r="AQ24" s="61"/>
      <c r="AR24" s="143"/>
      <c r="AS24" s="13">
        <f t="shared" si="8"/>
        <v>0</v>
      </c>
      <c r="AT24" s="61"/>
      <c r="AU24" s="143"/>
      <c r="AV24" s="13">
        <f t="shared" si="9"/>
        <v>0</v>
      </c>
      <c r="AW24" s="62"/>
      <c r="AX24" s="143"/>
      <c r="AY24" s="13">
        <f t="shared" si="10"/>
        <v>0</v>
      </c>
      <c r="AZ24" s="62">
        <v>18</v>
      </c>
      <c r="BA24" s="143"/>
      <c r="BB24" s="13">
        <f t="shared" si="11"/>
        <v>18</v>
      </c>
      <c r="BC24" s="62"/>
      <c r="BD24" s="143"/>
      <c r="BE24" s="13">
        <f t="shared" si="12"/>
        <v>18</v>
      </c>
      <c r="BF24" s="62"/>
      <c r="BG24" s="143">
        <f>6+4+5</f>
        <v>15</v>
      </c>
      <c r="BH24" s="13">
        <f t="shared" si="13"/>
        <v>3</v>
      </c>
      <c r="BI24" s="62"/>
      <c r="BJ24" s="143"/>
      <c r="BK24" s="13">
        <f t="shared" si="14"/>
        <v>3</v>
      </c>
      <c r="BL24" s="62"/>
      <c r="BM24" s="143"/>
      <c r="BN24" s="13">
        <f t="shared" si="15"/>
        <v>3</v>
      </c>
      <c r="BO24" s="62"/>
      <c r="BP24" s="143"/>
      <c r="BQ24" s="13">
        <f t="shared" si="16"/>
        <v>3</v>
      </c>
      <c r="BR24" s="62"/>
      <c r="BS24" s="143"/>
      <c r="BT24" s="13">
        <f t="shared" si="17"/>
        <v>3</v>
      </c>
      <c r="BU24" s="62"/>
      <c r="BV24" s="143"/>
      <c r="BW24" s="13">
        <f t="shared" si="18"/>
        <v>3</v>
      </c>
      <c r="BX24" s="62"/>
      <c r="BY24" s="143"/>
      <c r="BZ24" s="13">
        <f t="shared" si="19"/>
        <v>3</v>
      </c>
      <c r="CA24" s="62"/>
      <c r="CB24" s="143"/>
      <c r="CC24" s="13">
        <f t="shared" si="20"/>
        <v>3</v>
      </c>
      <c r="CD24" s="61"/>
      <c r="CE24" s="143"/>
      <c r="CF24" s="13">
        <f t="shared" si="21"/>
        <v>3</v>
      </c>
      <c r="CG24" s="62"/>
      <c r="CH24" s="143"/>
      <c r="CI24" s="13">
        <f t="shared" si="31"/>
        <v>3</v>
      </c>
      <c r="CJ24" s="61"/>
      <c r="CK24" s="143"/>
      <c r="CL24" s="13">
        <f t="shared" si="32"/>
        <v>3</v>
      </c>
      <c r="CM24" s="62"/>
      <c r="CN24" s="143"/>
      <c r="CO24" s="13">
        <f t="shared" si="22"/>
        <v>3</v>
      </c>
      <c r="CP24" s="62"/>
      <c r="CQ24" s="143"/>
      <c r="CR24" s="13">
        <f t="shared" si="33"/>
        <v>3</v>
      </c>
      <c r="CS24" s="62"/>
      <c r="CT24" s="143"/>
      <c r="CU24" s="14">
        <f t="shared" si="23"/>
        <v>3</v>
      </c>
      <c r="CV24" s="5">
        <f t="shared" si="24"/>
        <v>33</v>
      </c>
      <c r="CW24" s="4">
        <f t="shared" si="24"/>
        <v>37</v>
      </c>
      <c r="CX24" s="6">
        <f t="shared" si="25"/>
        <v>3</v>
      </c>
      <c r="CY24" s="162">
        <v>100</v>
      </c>
      <c r="CZ24" s="171">
        <f t="shared" si="26"/>
        <v>300</v>
      </c>
      <c r="DB24" s="2">
        <f t="shared" si="34"/>
        <v>3</v>
      </c>
      <c r="DC24" s="61"/>
      <c r="DD24" s="143"/>
      <c r="DE24" s="149">
        <f t="shared" si="35"/>
        <v>3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4</v>
      </c>
      <c r="G25" s="62">
        <v>10</v>
      </c>
      <c r="H25" s="143">
        <f>0.5+1</f>
        <v>1.5</v>
      </c>
      <c r="I25" s="13">
        <f t="shared" si="0"/>
        <v>12.5</v>
      </c>
      <c r="J25" s="62"/>
      <c r="K25" s="143">
        <f>2+1+2</f>
        <v>5</v>
      </c>
      <c r="L25" s="13">
        <f t="shared" si="1"/>
        <v>7.5</v>
      </c>
      <c r="M25" s="62"/>
      <c r="N25" s="143"/>
      <c r="O25" s="13">
        <f t="shared" si="2"/>
        <v>7.5</v>
      </c>
      <c r="P25" s="62">
        <v>10</v>
      </c>
      <c r="Q25" s="143"/>
      <c r="R25" s="30">
        <f t="shared" si="3"/>
        <v>17.5</v>
      </c>
      <c r="S25" s="62"/>
      <c r="T25" s="143">
        <f>2+1+1+1+1</f>
        <v>6</v>
      </c>
      <c r="U25" s="13">
        <f t="shared" si="4"/>
        <v>11.5</v>
      </c>
      <c r="V25" s="62"/>
      <c r="W25" s="143">
        <f>2+1.5</f>
        <v>3.5</v>
      </c>
      <c r="X25" s="13">
        <f t="shared" si="5"/>
        <v>8</v>
      </c>
      <c r="Y25" s="62">
        <v>10</v>
      </c>
      <c r="Z25" s="143">
        <f>2+1+2</f>
        <v>5</v>
      </c>
      <c r="AA25" s="13">
        <f t="shared" si="27"/>
        <v>13</v>
      </c>
      <c r="AB25" s="62"/>
      <c r="AC25" s="143">
        <f>0.5</f>
        <v>0.5</v>
      </c>
      <c r="AD25" s="13">
        <f t="shared" si="28"/>
        <v>12.5</v>
      </c>
      <c r="AE25" s="62"/>
      <c r="AF25" s="143">
        <f>1+2</f>
        <v>3</v>
      </c>
      <c r="AG25" s="13">
        <f t="shared" si="29"/>
        <v>9.5</v>
      </c>
      <c r="AH25" s="62"/>
      <c r="AI25" s="143"/>
      <c r="AJ25" s="13">
        <f t="shared" si="30"/>
        <v>9.5</v>
      </c>
      <c r="AK25" s="61">
        <v>10</v>
      </c>
      <c r="AL25" s="143">
        <f>2+1</f>
        <v>3</v>
      </c>
      <c r="AM25" s="13">
        <f t="shared" si="6"/>
        <v>16.5</v>
      </c>
      <c r="AN25" s="61">
        <v>10</v>
      </c>
      <c r="AO25" s="143">
        <f>3+0.5+1</f>
        <v>4.5</v>
      </c>
      <c r="AP25" s="13">
        <f t="shared" si="7"/>
        <v>22</v>
      </c>
      <c r="AQ25" s="61"/>
      <c r="AR25" s="143">
        <f>1.5+1</f>
        <v>2.5</v>
      </c>
      <c r="AS25" s="13">
        <f t="shared" si="8"/>
        <v>19.5</v>
      </c>
      <c r="AT25" s="61"/>
      <c r="AU25" s="143">
        <f>1+1</f>
        <v>2</v>
      </c>
      <c r="AV25" s="13">
        <f t="shared" si="9"/>
        <v>17.5</v>
      </c>
      <c r="AW25" s="62"/>
      <c r="AX25" s="143">
        <f>5</f>
        <v>5</v>
      </c>
      <c r="AY25" s="13">
        <f t="shared" si="10"/>
        <v>12.5</v>
      </c>
      <c r="AZ25" s="62"/>
      <c r="BA25" s="143">
        <f>2+3</f>
        <v>5</v>
      </c>
      <c r="BB25" s="13">
        <f t="shared" si="11"/>
        <v>7.5</v>
      </c>
      <c r="BC25" s="62"/>
      <c r="BD25" s="143"/>
      <c r="BE25" s="13">
        <f t="shared" si="12"/>
        <v>7.5</v>
      </c>
      <c r="BF25" s="62"/>
      <c r="BG25" s="143">
        <f>1+1+3</f>
        <v>5</v>
      </c>
      <c r="BH25" s="13">
        <f t="shared" si="13"/>
        <v>2.5</v>
      </c>
      <c r="BI25" s="62">
        <v>10</v>
      </c>
      <c r="BJ25" s="143">
        <f>1+0.5</f>
        <v>1.5</v>
      </c>
      <c r="BK25" s="13">
        <f t="shared" si="14"/>
        <v>11</v>
      </c>
      <c r="BL25" s="62"/>
      <c r="BM25" s="143">
        <f>1</f>
        <v>1</v>
      </c>
      <c r="BN25" s="13">
        <f t="shared" si="15"/>
        <v>10</v>
      </c>
      <c r="BO25" s="62"/>
      <c r="BP25" s="143"/>
      <c r="BQ25" s="13">
        <f t="shared" si="16"/>
        <v>10</v>
      </c>
      <c r="BR25" s="62">
        <v>8</v>
      </c>
      <c r="BS25" s="143">
        <f>0.5+1</f>
        <v>1.5</v>
      </c>
      <c r="BT25" s="13">
        <f t="shared" si="17"/>
        <v>16.5</v>
      </c>
      <c r="BU25" s="62"/>
      <c r="BV25" s="143">
        <f>3+1</f>
        <v>4</v>
      </c>
      <c r="BW25" s="13">
        <f t="shared" si="18"/>
        <v>12.5</v>
      </c>
      <c r="BX25" s="62"/>
      <c r="BY25" s="143"/>
      <c r="BZ25" s="13">
        <f t="shared" si="19"/>
        <v>12.5</v>
      </c>
      <c r="CA25" s="62"/>
      <c r="CB25" s="143">
        <f>1.5+2</f>
        <v>3.5</v>
      </c>
      <c r="CC25" s="13">
        <f t="shared" si="20"/>
        <v>9</v>
      </c>
      <c r="CD25" s="61">
        <v>20</v>
      </c>
      <c r="CE25" s="143">
        <f>5+3</f>
        <v>8</v>
      </c>
      <c r="CF25" s="13">
        <f t="shared" si="21"/>
        <v>21</v>
      </c>
      <c r="CG25" s="62"/>
      <c r="CH25" s="143">
        <f>2+1+1+1</f>
        <v>5</v>
      </c>
      <c r="CI25" s="13">
        <f t="shared" si="31"/>
        <v>16</v>
      </c>
      <c r="CJ25" s="61"/>
      <c r="CK25" s="143">
        <f>2+2+1.5+1</f>
        <v>6.5</v>
      </c>
      <c r="CL25" s="13">
        <f t="shared" si="32"/>
        <v>9.5</v>
      </c>
      <c r="CM25" s="62">
        <v>8</v>
      </c>
      <c r="CN25" s="143">
        <f>1</f>
        <v>1</v>
      </c>
      <c r="CO25" s="13">
        <f t="shared" si="22"/>
        <v>16.5</v>
      </c>
      <c r="CP25" s="62"/>
      <c r="CQ25" s="143">
        <f>2+1+5</f>
        <v>8</v>
      </c>
      <c r="CR25" s="13">
        <f t="shared" si="33"/>
        <v>8.5</v>
      </c>
      <c r="CS25" s="62"/>
      <c r="CT25" s="143"/>
      <c r="CU25" s="14">
        <f t="shared" si="23"/>
        <v>8.5</v>
      </c>
      <c r="CV25" s="5">
        <f t="shared" si="24"/>
        <v>96</v>
      </c>
      <c r="CW25" s="4">
        <f t="shared" si="24"/>
        <v>91.5</v>
      </c>
      <c r="CX25" s="6">
        <f t="shared" si="25"/>
        <v>8.5</v>
      </c>
      <c r="CY25" s="162">
        <v>170</v>
      </c>
      <c r="CZ25" s="171">
        <f t="shared" si="26"/>
        <v>1445</v>
      </c>
      <c r="DB25" s="2">
        <f t="shared" si="34"/>
        <v>8.5</v>
      </c>
      <c r="DC25" s="61"/>
      <c r="DD25" s="143"/>
      <c r="DE25" s="149">
        <f t="shared" si="35"/>
        <v>8.5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6</v>
      </c>
      <c r="G26" s="62">
        <f>2+15</f>
        <v>17</v>
      </c>
      <c r="H26" s="143">
        <v>4</v>
      </c>
      <c r="I26" s="13">
        <f t="shared" si="0"/>
        <v>19</v>
      </c>
      <c r="J26" s="62">
        <v>2</v>
      </c>
      <c r="K26" s="143">
        <v>6</v>
      </c>
      <c r="L26" s="13">
        <f t="shared" si="1"/>
        <v>15</v>
      </c>
      <c r="M26" s="62"/>
      <c r="N26" s="143"/>
      <c r="O26" s="13">
        <f t="shared" si="2"/>
        <v>15</v>
      </c>
      <c r="P26" s="62">
        <f>2+10</f>
        <v>12</v>
      </c>
      <c r="Q26" s="143">
        <v>8</v>
      </c>
      <c r="R26" s="30">
        <f t="shared" si="3"/>
        <v>19</v>
      </c>
      <c r="S26" s="62">
        <v>2</v>
      </c>
      <c r="T26" s="190">
        <f>5+2</f>
        <v>7</v>
      </c>
      <c r="U26" s="13">
        <f t="shared" si="4"/>
        <v>14</v>
      </c>
      <c r="V26" s="62"/>
      <c r="W26" s="143"/>
      <c r="X26" s="13">
        <f t="shared" si="5"/>
        <v>14</v>
      </c>
      <c r="Y26" s="62">
        <v>2</v>
      </c>
      <c r="Z26" s="143">
        <f>6</f>
        <v>6</v>
      </c>
      <c r="AA26" s="13">
        <f t="shared" si="27"/>
        <v>10</v>
      </c>
      <c r="AB26" s="62">
        <f>2+20</f>
        <v>22</v>
      </c>
      <c r="AC26" s="143">
        <v>4</v>
      </c>
      <c r="AD26" s="13">
        <f t="shared" si="28"/>
        <v>28</v>
      </c>
      <c r="AE26" s="62">
        <v>2</v>
      </c>
      <c r="AF26" s="143">
        <v>9</v>
      </c>
      <c r="AG26" s="13">
        <f t="shared" si="29"/>
        <v>21</v>
      </c>
      <c r="AH26" s="62"/>
      <c r="AI26" s="143"/>
      <c r="AJ26" s="13">
        <f t="shared" si="30"/>
        <v>21</v>
      </c>
      <c r="AK26" s="61">
        <v>0</v>
      </c>
      <c r="AL26" s="143">
        <v>6</v>
      </c>
      <c r="AM26" s="13">
        <f t="shared" si="6"/>
        <v>15</v>
      </c>
      <c r="AN26" s="61">
        <f>2+20+2+6</f>
        <v>30</v>
      </c>
      <c r="AO26" s="143">
        <f>7</f>
        <v>7</v>
      </c>
      <c r="AP26" s="13">
        <f t="shared" si="7"/>
        <v>38</v>
      </c>
      <c r="AQ26" s="61"/>
      <c r="AR26" s="143"/>
      <c r="AS26" s="13">
        <f t="shared" si="8"/>
        <v>38</v>
      </c>
      <c r="AT26" s="61"/>
      <c r="AU26" s="143">
        <v>9</v>
      </c>
      <c r="AV26" s="13">
        <f t="shared" si="9"/>
        <v>29</v>
      </c>
      <c r="AW26" s="62"/>
      <c r="AX26" s="143">
        <v>3</v>
      </c>
      <c r="AY26" s="13">
        <f t="shared" si="10"/>
        <v>26</v>
      </c>
      <c r="AZ26" s="62">
        <v>2</v>
      </c>
      <c r="BA26" s="143">
        <f>11+1+1-1</f>
        <v>12</v>
      </c>
      <c r="BB26" s="13">
        <f t="shared" si="11"/>
        <v>16</v>
      </c>
      <c r="BC26" s="62"/>
      <c r="BD26" s="143"/>
      <c r="BE26" s="13">
        <f t="shared" si="12"/>
        <v>16</v>
      </c>
      <c r="BF26" s="62">
        <f>5+2</f>
        <v>7</v>
      </c>
      <c r="BG26" s="143">
        <v>6</v>
      </c>
      <c r="BH26" s="13">
        <f t="shared" si="13"/>
        <v>17</v>
      </c>
      <c r="BI26" s="62">
        <v>2</v>
      </c>
      <c r="BJ26" s="143">
        <v>3</v>
      </c>
      <c r="BK26" s="13">
        <f t="shared" si="14"/>
        <v>16</v>
      </c>
      <c r="BL26" s="62"/>
      <c r="BM26" s="143"/>
      <c r="BN26" s="13">
        <f t="shared" si="15"/>
        <v>16</v>
      </c>
      <c r="BO26" s="62">
        <v>2</v>
      </c>
      <c r="BP26" s="143">
        <v>4</v>
      </c>
      <c r="BQ26" s="13">
        <f t="shared" si="16"/>
        <v>14</v>
      </c>
      <c r="BR26" s="62">
        <f>10+2</f>
        <v>12</v>
      </c>
      <c r="BS26" s="143">
        <v>5</v>
      </c>
      <c r="BT26" s="13">
        <f t="shared" si="17"/>
        <v>21</v>
      </c>
      <c r="BU26" s="62">
        <v>2</v>
      </c>
      <c r="BV26" s="143">
        <v>7</v>
      </c>
      <c r="BW26" s="13">
        <f t="shared" si="18"/>
        <v>16</v>
      </c>
      <c r="BX26" s="62"/>
      <c r="BY26" s="143"/>
      <c r="BZ26" s="13">
        <f t="shared" si="19"/>
        <v>16</v>
      </c>
      <c r="CA26" s="62">
        <f>2+6</f>
        <v>8</v>
      </c>
      <c r="CB26" s="143">
        <v>4</v>
      </c>
      <c r="CC26" s="13">
        <f t="shared" si="20"/>
        <v>20</v>
      </c>
      <c r="CD26" s="61">
        <v>2</v>
      </c>
      <c r="CE26" s="143">
        <v>6</v>
      </c>
      <c r="CF26" s="13">
        <f t="shared" si="21"/>
        <v>16</v>
      </c>
      <c r="CG26" s="62"/>
      <c r="CH26" s="143"/>
      <c r="CI26" s="13">
        <f t="shared" si="31"/>
        <v>16</v>
      </c>
      <c r="CJ26" s="61">
        <v>2</v>
      </c>
      <c r="CK26" s="143">
        <v>8</v>
      </c>
      <c r="CL26" s="13">
        <f t="shared" si="32"/>
        <v>10</v>
      </c>
      <c r="CM26" s="62">
        <f>2+8</f>
        <v>10</v>
      </c>
      <c r="CN26" s="143">
        <v>5</v>
      </c>
      <c r="CO26" s="13">
        <f t="shared" si="22"/>
        <v>15</v>
      </c>
      <c r="CP26" s="62">
        <v>2</v>
      </c>
      <c r="CQ26" s="143">
        <v>6</v>
      </c>
      <c r="CR26" s="13">
        <f t="shared" si="33"/>
        <v>11</v>
      </c>
      <c r="CS26" s="62"/>
      <c r="CT26" s="143"/>
      <c r="CU26" s="14">
        <f t="shared" si="23"/>
        <v>11</v>
      </c>
      <c r="CV26" s="5">
        <f t="shared" si="24"/>
        <v>140</v>
      </c>
      <c r="CW26" s="4">
        <f t="shared" si="24"/>
        <v>135</v>
      </c>
      <c r="CX26" s="6">
        <f t="shared" si="25"/>
        <v>11</v>
      </c>
      <c r="CY26" s="162">
        <v>3800</v>
      </c>
      <c r="CZ26" s="171">
        <f t="shared" si="26"/>
        <v>41800</v>
      </c>
      <c r="DB26" s="2">
        <f t="shared" si="34"/>
        <v>11</v>
      </c>
      <c r="DC26" s="61"/>
      <c r="DD26" s="143"/>
      <c r="DE26" s="149">
        <f t="shared" si="35"/>
        <v>11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13.57</v>
      </c>
      <c r="G27" s="62">
        <v>60</v>
      </c>
      <c r="H27" s="143">
        <f>0.6+1.3+0.6+0.4+0.5+0.3+3</f>
        <v>6.6999999999999993</v>
      </c>
      <c r="I27" s="13">
        <f t="shared" si="0"/>
        <v>66.86999999999999</v>
      </c>
      <c r="J27" s="62"/>
      <c r="K27" s="143">
        <f>10+1.8+1.2+1.3+5.6</f>
        <v>19.899999999999999</v>
      </c>
      <c r="L27" s="13">
        <f t="shared" si="1"/>
        <v>46.969999999999992</v>
      </c>
      <c r="M27" s="62"/>
      <c r="N27" s="143"/>
      <c r="O27" s="13">
        <f t="shared" si="2"/>
        <v>46.969999999999992</v>
      </c>
      <c r="P27" s="62">
        <v>40</v>
      </c>
      <c r="Q27" s="143">
        <f>2.1+1+0.5+0.9+0.9+2+0.8+1.2</f>
        <v>9.4</v>
      </c>
      <c r="R27" s="30">
        <f t="shared" si="3"/>
        <v>77.569999999999993</v>
      </c>
      <c r="S27" s="62"/>
      <c r="T27" s="143">
        <f>0.6+1.9+2.4+1.5+2.2+0.9+5.5</f>
        <v>15.000000000000002</v>
      </c>
      <c r="U27" s="13">
        <f t="shared" si="4"/>
        <v>62.569999999999993</v>
      </c>
      <c r="V27" s="62"/>
      <c r="W27" s="143">
        <f>1.1+1+0.8+0.8+0.8+3.5</f>
        <v>8</v>
      </c>
      <c r="X27" s="13">
        <f t="shared" si="5"/>
        <v>54.569999999999993</v>
      </c>
      <c r="Y27" s="62">
        <v>40</v>
      </c>
      <c r="Z27" s="143">
        <f>10.1+4.3+1.5+0.7+1.3+0.9+2+4</f>
        <v>24.799999999999997</v>
      </c>
      <c r="AA27" s="13">
        <f t="shared" si="27"/>
        <v>69.77</v>
      </c>
      <c r="AB27" s="62"/>
      <c r="AC27" s="143">
        <f>1.3+0.4+0.4+0.1+0.2+0.5</f>
        <v>2.9000000000000004</v>
      </c>
      <c r="AD27" s="13">
        <f t="shared" si="28"/>
        <v>66.86999999999999</v>
      </c>
      <c r="AE27" s="62"/>
      <c r="AF27" s="143">
        <f>10.2+0.3+0.6+5.3</f>
        <v>16.399999999999999</v>
      </c>
      <c r="AG27" s="13">
        <f t="shared" si="29"/>
        <v>50.469999999999992</v>
      </c>
      <c r="AH27" s="62"/>
      <c r="AI27" s="143"/>
      <c r="AJ27" s="13">
        <f t="shared" si="30"/>
        <v>50.469999999999992</v>
      </c>
      <c r="AK27" s="61"/>
      <c r="AL27" s="143">
        <f>3.2</f>
        <v>3.2</v>
      </c>
      <c r="AM27" s="13">
        <f t="shared" si="6"/>
        <v>47.269999999999989</v>
      </c>
      <c r="AN27" s="61"/>
      <c r="AO27" s="143">
        <f>1.3+0.8+0.6+1.2+0.7+0.8+4+0.9+0.7+1.6+1</f>
        <v>13.6</v>
      </c>
      <c r="AP27" s="13">
        <f t="shared" si="7"/>
        <v>33.669999999999987</v>
      </c>
      <c r="AQ27" s="61"/>
      <c r="AR27" s="143">
        <f>0.5+0.6+0.6+0.5+0.6+4.5</f>
        <v>7.3000000000000007</v>
      </c>
      <c r="AS27" s="13">
        <f t="shared" si="8"/>
        <v>26.369999999999987</v>
      </c>
      <c r="AT27" s="61">
        <v>10</v>
      </c>
      <c r="AU27" s="143">
        <f>1.2+1.3+1.2+1.2+2+0.9+0.8</f>
        <v>8.6000000000000014</v>
      </c>
      <c r="AV27" s="13">
        <f t="shared" si="9"/>
        <v>27.769999999999989</v>
      </c>
      <c r="AW27" s="62"/>
      <c r="AX27" s="143">
        <f>0.8+0.5+0.3+0.2+0.2+0.2</f>
        <v>2.2000000000000002</v>
      </c>
      <c r="AY27" s="13">
        <f t="shared" si="10"/>
        <v>25.56999999999999</v>
      </c>
      <c r="AZ27" s="62">
        <v>70</v>
      </c>
      <c r="BA27" s="143">
        <f>1.9+2+1.2+7.8+10</f>
        <v>22.9</v>
      </c>
      <c r="BB27" s="13">
        <f t="shared" si="11"/>
        <v>72.669999999999987</v>
      </c>
      <c r="BC27" s="62"/>
      <c r="BD27" s="143"/>
      <c r="BE27" s="13">
        <f t="shared" si="12"/>
        <v>72.669999999999987</v>
      </c>
      <c r="BF27" s="62"/>
      <c r="BG27" s="143">
        <f>2+1.8+0.5+2.3+1.5+2+1.5+1.9+2.3+7</f>
        <v>22.8</v>
      </c>
      <c r="BH27" s="13">
        <f t="shared" si="13"/>
        <v>49.86999999999999</v>
      </c>
      <c r="BI27" s="62">
        <v>40</v>
      </c>
      <c r="BJ27" s="143">
        <f>1.5+1.2+2.2+2+1.1+5.5+0.4</f>
        <v>13.9</v>
      </c>
      <c r="BK27" s="13">
        <f t="shared" si="14"/>
        <v>75.969999999999985</v>
      </c>
      <c r="BL27" s="62"/>
      <c r="BM27" s="143">
        <f>1.4+0.8+1+1.1+2.7+3.2</f>
        <v>10.200000000000001</v>
      </c>
      <c r="BN27" s="13">
        <f t="shared" si="15"/>
        <v>65.769999999999982</v>
      </c>
      <c r="BO27" s="62"/>
      <c r="BP27" s="143">
        <f>2.3+4.4+10+1.8+1.4+1.3+2.3</f>
        <v>23.5</v>
      </c>
      <c r="BQ27" s="13">
        <f t="shared" si="16"/>
        <v>42.269999999999982</v>
      </c>
      <c r="BR27" s="62">
        <v>40</v>
      </c>
      <c r="BS27" s="143">
        <f>1.3+0.4+0.4+0.2+0.2+0.5+4.5+2</f>
        <v>9.5</v>
      </c>
      <c r="BT27" s="13">
        <f t="shared" si="17"/>
        <v>72.769999999999982</v>
      </c>
      <c r="BU27" s="64">
        <v>4</v>
      </c>
      <c r="BV27" s="143">
        <f>10+10.2+0.9+4+1.3</f>
        <v>26.4</v>
      </c>
      <c r="BW27" s="13">
        <f t="shared" si="18"/>
        <v>50.369999999999983</v>
      </c>
      <c r="BX27" s="62"/>
      <c r="BY27" s="143"/>
      <c r="BZ27" s="13">
        <f t="shared" si="19"/>
        <v>50.369999999999983</v>
      </c>
      <c r="CA27" s="62">
        <v>40</v>
      </c>
      <c r="CB27" s="143">
        <f>1.3+1.1+0.6+1.7+0.8+1.9+1.1+1.2+6</f>
        <v>15.7</v>
      </c>
      <c r="CC27" s="13">
        <f t="shared" si="20"/>
        <v>74.669999999999973</v>
      </c>
      <c r="CD27" s="61"/>
      <c r="CE27" s="143">
        <f>0.5+2+0.9+1+1.1+0.4+0.8</f>
        <v>6.7</v>
      </c>
      <c r="CF27" s="13">
        <f t="shared" si="21"/>
        <v>67.96999999999997</v>
      </c>
      <c r="CG27" s="62"/>
      <c r="CH27" s="143">
        <f>0.9+1.5</f>
        <v>2.4</v>
      </c>
      <c r="CI27" s="13">
        <f t="shared" si="31"/>
        <v>65.569999999999965</v>
      </c>
      <c r="CJ27" s="61"/>
      <c r="CK27" s="143">
        <f>2.7+1.8+3.3+1.8+0.8</f>
        <v>10.4</v>
      </c>
      <c r="CL27" s="13">
        <f t="shared" si="32"/>
        <v>55.169999999999966</v>
      </c>
      <c r="CM27" s="62"/>
      <c r="CN27" s="143">
        <f>1.3+0.5+0.5+0.1+0.1+4</f>
        <v>6.5</v>
      </c>
      <c r="CO27" s="13">
        <f t="shared" si="22"/>
        <v>48.669999999999966</v>
      </c>
      <c r="CP27" s="62"/>
      <c r="CQ27" s="143">
        <f>10+0.9+1.1</f>
        <v>12</v>
      </c>
      <c r="CR27" s="13">
        <f t="shared" si="33"/>
        <v>36.669999999999966</v>
      </c>
      <c r="CS27" s="62"/>
      <c r="CT27" s="143"/>
      <c r="CU27" s="14">
        <f t="shared" si="23"/>
        <v>36.669999999999966</v>
      </c>
      <c r="CV27" s="5">
        <f t="shared" si="24"/>
        <v>344</v>
      </c>
      <c r="CW27" s="4">
        <f t="shared" si="24"/>
        <v>320.89999999999992</v>
      </c>
      <c r="CX27" s="6">
        <f t="shared" si="25"/>
        <v>36.669999999999966</v>
      </c>
      <c r="CY27" s="162">
        <v>140</v>
      </c>
      <c r="CZ27" s="171">
        <f t="shared" si="26"/>
        <v>5133.7999999999956</v>
      </c>
      <c r="DB27" s="2">
        <f t="shared" si="34"/>
        <v>36.669999999999966</v>
      </c>
      <c r="DC27" s="61"/>
      <c r="DD27" s="143"/>
      <c r="DE27" s="149">
        <f t="shared" si="35"/>
        <v>36.669999999999966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0.40000000000000036</v>
      </c>
      <c r="G28" s="62">
        <v>20</v>
      </c>
      <c r="H28" s="143"/>
      <c r="I28" s="13">
        <f t="shared" si="0"/>
        <v>20.399999999999999</v>
      </c>
      <c r="J28" s="62"/>
      <c r="K28" s="143">
        <v>8</v>
      </c>
      <c r="L28" s="13">
        <f t="shared" si="1"/>
        <v>12.399999999999999</v>
      </c>
      <c r="M28" s="62"/>
      <c r="N28" s="143"/>
      <c r="O28" s="13">
        <f t="shared" si="2"/>
        <v>12.399999999999999</v>
      </c>
      <c r="P28" s="62"/>
      <c r="Q28" s="143">
        <v>5</v>
      </c>
      <c r="R28" s="30">
        <f t="shared" si="3"/>
        <v>7.3999999999999986</v>
      </c>
      <c r="S28" s="62">
        <v>20</v>
      </c>
      <c r="T28" s="143">
        <v>3</v>
      </c>
      <c r="U28" s="13">
        <f t="shared" si="4"/>
        <v>24.4</v>
      </c>
      <c r="V28" s="62"/>
      <c r="W28" s="143"/>
      <c r="X28" s="13">
        <f t="shared" si="5"/>
        <v>24.4</v>
      </c>
      <c r="Y28" s="62"/>
      <c r="Z28" s="143">
        <v>6</v>
      </c>
      <c r="AA28" s="13">
        <f t="shared" si="27"/>
        <v>18.399999999999999</v>
      </c>
      <c r="AB28" s="62"/>
      <c r="AC28" s="143">
        <v>1</v>
      </c>
      <c r="AD28" s="13">
        <f t="shared" si="28"/>
        <v>17.399999999999999</v>
      </c>
      <c r="AE28" s="62"/>
      <c r="AF28" s="143">
        <v>5.9</v>
      </c>
      <c r="AG28" s="13">
        <f t="shared" si="29"/>
        <v>11.499999999999998</v>
      </c>
      <c r="AH28" s="62"/>
      <c r="AI28" s="143"/>
      <c r="AJ28" s="13">
        <f t="shared" si="30"/>
        <v>11.499999999999998</v>
      </c>
      <c r="AK28" s="61"/>
      <c r="AL28" s="143">
        <v>4.0999999999999996</v>
      </c>
      <c r="AM28" s="13">
        <f t="shared" si="6"/>
        <v>7.3999999999999986</v>
      </c>
      <c r="AN28" s="61">
        <v>20</v>
      </c>
      <c r="AO28" s="143"/>
      <c r="AP28" s="13">
        <f t="shared" si="7"/>
        <v>27.4</v>
      </c>
      <c r="AQ28" s="61"/>
      <c r="AR28" s="143">
        <v>5</v>
      </c>
      <c r="AS28" s="13">
        <f t="shared" si="8"/>
        <v>22.4</v>
      </c>
      <c r="AT28" s="61"/>
      <c r="AU28" s="143">
        <v>6.7</v>
      </c>
      <c r="AV28" s="13">
        <f t="shared" si="9"/>
        <v>15.7</v>
      </c>
      <c r="AW28" s="62"/>
      <c r="AX28" s="143">
        <v>5</v>
      </c>
      <c r="AY28" s="13">
        <f t="shared" si="10"/>
        <v>10.7</v>
      </c>
      <c r="AZ28" s="62"/>
      <c r="BA28" s="143">
        <v>4.8</v>
      </c>
      <c r="BB28" s="13">
        <f t="shared" si="11"/>
        <v>5.8999999999999995</v>
      </c>
      <c r="BC28" s="62"/>
      <c r="BD28" s="143"/>
      <c r="BE28" s="13">
        <f t="shared" si="12"/>
        <v>5.8999999999999995</v>
      </c>
      <c r="BF28" s="62">
        <v>20</v>
      </c>
      <c r="BG28" s="143">
        <v>3.4</v>
      </c>
      <c r="BH28" s="13">
        <f t="shared" si="13"/>
        <v>22.5</v>
      </c>
      <c r="BI28" s="62"/>
      <c r="BJ28" s="143">
        <v>7</v>
      </c>
      <c r="BK28" s="13">
        <f t="shared" si="14"/>
        <v>15.5</v>
      </c>
      <c r="BL28" s="62"/>
      <c r="BM28" s="143"/>
      <c r="BN28" s="13">
        <f t="shared" si="15"/>
        <v>15.5</v>
      </c>
      <c r="BO28" s="62"/>
      <c r="BP28" s="143">
        <v>5.8</v>
      </c>
      <c r="BQ28" s="13">
        <f t="shared" si="16"/>
        <v>9.6999999999999993</v>
      </c>
      <c r="BR28" s="62">
        <v>20</v>
      </c>
      <c r="BS28" s="143">
        <f>2</f>
        <v>2</v>
      </c>
      <c r="BT28" s="13">
        <f t="shared" si="17"/>
        <v>27.7</v>
      </c>
      <c r="BU28" s="62"/>
      <c r="BV28" s="143">
        <v>7</v>
      </c>
      <c r="BW28" s="13">
        <f t="shared" si="18"/>
        <v>20.7</v>
      </c>
      <c r="BX28" s="62"/>
      <c r="BY28" s="143"/>
      <c r="BZ28" s="13">
        <f t="shared" si="19"/>
        <v>20.7</v>
      </c>
      <c r="CA28" s="62"/>
      <c r="CB28" s="143">
        <f>1</f>
        <v>1</v>
      </c>
      <c r="CC28" s="13">
        <f t="shared" si="20"/>
        <v>19.7</v>
      </c>
      <c r="CD28" s="61"/>
      <c r="CE28" s="143">
        <f>4+2</f>
        <v>6</v>
      </c>
      <c r="CF28" s="13">
        <f t="shared" si="21"/>
        <v>13.7</v>
      </c>
      <c r="CG28" s="62"/>
      <c r="CH28" s="143"/>
      <c r="CI28" s="13">
        <f t="shared" si="31"/>
        <v>13.7</v>
      </c>
      <c r="CJ28" s="61"/>
      <c r="CK28" s="143">
        <v>4</v>
      </c>
      <c r="CL28" s="13">
        <f t="shared" si="32"/>
        <v>9.6999999999999993</v>
      </c>
      <c r="CM28" s="62"/>
      <c r="CN28" s="143">
        <v>3.6</v>
      </c>
      <c r="CO28" s="13">
        <f t="shared" si="22"/>
        <v>6.1</v>
      </c>
      <c r="CP28" s="62"/>
      <c r="CQ28" s="143">
        <v>6</v>
      </c>
      <c r="CR28" s="13">
        <f t="shared" si="33"/>
        <v>9.9999999999999645E-2</v>
      </c>
      <c r="CS28" s="62"/>
      <c r="CT28" s="143"/>
      <c r="CU28" s="14">
        <f t="shared" si="23"/>
        <v>9.9999999999999645E-2</v>
      </c>
      <c r="CV28" s="5">
        <f t="shared" si="24"/>
        <v>100</v>
      </c>
      <c r="CW28" s="4">
        <f t="shared" si="24"/>
        <v>100.3</v>
      </c>
      <c r="CX28" s="6">
        <f t="shared" si="25"/>
        <v>9.9999999999999645E-2</v>
      </c>
      <c r="CY28" s="162">
        <v>74</v>
      </c>
      <c r="CZ28" s="171">
        <f t="shared" si="26"/>
        <v>7.3999999999999737</v>
      </c>
      <c r="DB28" s="2">
        <f t="shared" si="34"/>
        <v>9.9999999999999645E-2</v>
      </c>
      <c r="DC28" s="61"/>
      <c r="DD28" s="143"/>
      <c r="DE28" s="149">
        <f t="shared" si="35"/>
        <v>9.9999999999999645E-2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10</v>
      </c>
      <c r="G29" s="62">
        <f>-45-9+80+50</f>
        <v>76</v>
      </c>
      <c r="H29" s="143">
        <f>3+3+4</f>
        <v>10</v>
      </c>
      <c r="I29" s="13">
        <f t="shared" si="0"/>
        <v>76</v>
      </c>
      <c r="J29" s="62">
        <f>50+10</f>
        <v>60</v>
      </c>
      <c r="K29" s="143">
        <f>3+6+9+55</f>
        <v>73</v>
      </c>
      <c r="L29" s="13">
        <f t="shared" si="1"/>
        <v>63</v>
      </c>
      <c r="M29" s="62"/>
      <c r="N29" s="143"/>
      <c r="O29" s="13">
        <f t="shared" si="2"/>
        <v>63</v>
      </c>
      <c r="P29" s="62">
        <f>-12+60+20</f>
        <v>68</v>
      </c>
      <c r="Q29" s="143">
        <f>4+4+55</f>
        <v>63</v>
      </c>
      <c r="R29" s="30">
        <f t="shared" si="3"/>
        <v>68</v>
      </c>
      <c r="S29" s="62">
        <f>-8+50+20</f>
        <v>62</v>
      </c>
      <c r="T29" s="143">
        <f>2+7+6+53</f>
        <v>68</v>
      </c>
      <c r="U29" s="13">
        <f t="shared" si="4"/>
        <v>62</v>
      </c>
      <c r="V29" s="62"/>
      <c r="W29" s="143"/>
      <c r="X29" s="13">
        <f>U29+V29-W29</f>
        <v>62</v>
      </c>
      <c r="Y29" s="62">
        <f>-23+50+40</f>
        <v>67</v>
      </c>
      <c r="Z29" s="143">
        <f>3+8+3+4+44</f>
        <v>62</v>
      </c>
      <c r="AA29" s="13">
        <f t="shared" si="27"/>
        <v>67</v>
      </c>
      <c r="AB29" s="62">
        <f>-22+1+40+70</f>
        <v>89</v>
      </c>
      <c r="AC29" s="143">
        <f>3+5+59</f>
        <v>67</v>
      </c>
      <c r="AD29" s="13">
        <f t="shared" si="28"/>
        <v>89</v>
      </c>
      <c r="AE29" s="62">
        <f>40+70</f>
        <v>110</v>
      </c>
      <c r="AF29" s="143">
        <f>8+4+64</f>
        <v>76</v>
      </c>
      <c r="AG29" s="13">
        <f>AD29+AE29-AF29</f>
        <v>123</v>
      </c>
      <c r="AH29" s="62"/>
      <c r="AI29" s="143"/>
      <c r="AJ29" s="13">
        <f t="shared" si="30"/>
        <v>123</v>
      </c>
      <c r="AK29" s="61">
        <v>90</v>
      </c>
      <c r="AL29" s="143">
        <f>9+77</f>
        <v>86</v>
      </c>
      <c r="AM29" s="13">
        <f t="shared" si="6"/>
        <v>127</v>
      </c>
      <c r="AN29" s="61">
        <v>90</v>
      </c>
      <c r="AO29" s="143">
        <f>6+6+90</f>
        <v>102</v>
      </c>
      <c r="AP29" s="13">
        <f t="shared" si="7"/>
        <v>115</v>
      </c>
      <c r="AQ29" s="61">
        <v>60</v>
      </c>
      <c r="AR29" s="143"/>
      <c r="AS29" s="13">
        <f t="shared" si="8"/>
        <v>175</v>
      </c>
      <c r="AT29" s="61">
        <v>60</v>
      </c>
      <c r="AU29" s="143">
        <f>4+9+74</f>
        <v>87</v>
      </c>
      <c r="AV29" s="13">
        <f t="shared" si="9"/>
        <v>148</v>
      </c>
      <c r="AW29" s="62"/>
      <c r="AX29" s="143">
        <f>5+4+74</f>
        <v>83</v>
      </c>
      <c r="AY29" s="13">
        <f t="shared" si="10"/>
        <v>65</v>
      </c>
      <c r="AZ29" s="62">
        <v>50</v>
      </c>
      <c r="BA29" s="143">
        <f>6+8+22</f>
        <v>36</v>
      </c>
      <c r="BB29" s="13">
        <f t="shared" si="11"/>
        <v>79</v>
      </c>
      <c r="BC29" s="62"/>
      <c r="BD29" s="143"/>
      <c r="BE29" s="13">
        <f t="shared" si="12"/>
        <v>79</v>
      </c>
      <c r="BF29" s="62">
        <v>50</v>
      </c>
      <c r="BG29" s="143">
        <f>4+3+34</f>
        <v>41</v>
      </c>
      <c r="BH29" s="13">
        <f t="shared" si="13"/>
        <v>88</v>
      </c>
      <c r="BI29" s="62">
        <f>-2+50+40-20</f>
        <v>68</v>
      </c>
      <c r="BJ29" s="143">
        <f>4+7+9+68</f>
        <v>88</v>
      </c>
      <c r="BK29" s="13">
        <f t="shared" si="14"/>
        <v>68</v>
      </c>
      <c r="BL29" s="62"/>
      <c r="BM29" s="143">
        <f>5+5</f>
        <v>10</v>
      </c>
      <c r="BN29" s="13">
        <f t="shared" si="15"/>
        <v>58</v>
      </c>
      <c r="BO29" s="62">
        <f>-21+13+40</f>
        <v>32</v>
      </c>
      <c r="BP29" s="143">
        <f>3+8+6+2+39</f>
        <v>58</v>
      </c>
      <c r="BQ29" s="13">
        <f t="shared" si="16"/>
        <v>32</v>
      </c>
      <c r="BR29" s="62">
        <f>-30+60+50</f>
        <v>80</v>
      </c>
      <c r="BS29" s="143">
        <f>2+5+25</f>
        <v>32</v>
      </c>
      <c r="BT29" s="13">
        <f t="shared" si="17"/>
        <v>80</v>
      </c>
      <c r="BU29" s="62">
        <f>50+10</f>
        <v>60</v>
      </c>
      <c r="BV29" s="143">
        <f>3+5+9+10+49</f>
        <v>76</v>
      </c>
      <c r="BW29" s="13">
        <f t="shared" si="18"/>
        <v>64</v>
      </c>
      <c r="BX29" s="62"/>
      <c r="BY29" s="143"/>
      <c r="BZ29" s="13">
        <f t="shared" si="19"/>
        <v>64</v>
      </c>
      <c r="CA29" s="62">
        <f>40+20</f>
        <v>60</v>
      </c>
      <c r="CB29" s="143">
        <f>3+4+1+41</f>
        <v>49</v>
      </c>
      <c r="CC29" s="13">
        <f t="shared" si="20"/>
        <v>75</v>
      </c>
      <c r="CD29" s="61">
        <f>-14+40+40</f>
        <v>66</v>
      </c>
      <c r="CE29" s="143">
        <f>5+7+63</f>
        <v>75</v>
      </c>
      <c r="CF29" s="13">
        <f t="shared" si="21"/>
        <v>66</v>
      </c>
      <c r="CG29" s="62"/>
      <c r="CH29" s="143"/>
      <c r="CI29" s="13">
        <f t="shared" si="31"/>
        <v>66</v>
      </c>
      <c r="CJ29" s="61">
        <f>-6+11+40+30</f>
        <v>75</v>
      </c>
      <c r="CK29" s="143">
        <f>3+4+59</f>
        <v>66</v>
      </c>
      <c r="CL29" s="13">
        <f t="shared" si="32"/>
        <v>75</v>
      </c>
      <c r="CM29" s="62">
        <v>40</v>
      </c>
      <c r="CN29" s="143">
        <f>4+8+47</f>
        <v>59</v>
      </c>
      <c r="CO29" s="13">
        <f t="shared" si="22"/>
        <v>56</v>
      </c>
      <c r="CP29" s="62">
        <f>-30+60</f>
        <v>30</v>
      </c>
      <c r="CQ29" s="143">
        <f>2+7+47</f>
        <v>56</v>
      </c>
      <c r="CR29" s="13">
        <f t="shared" si="33"/>
        <v>30</v>
      </c>
      <c r="CS29" s="62"/>
      <c r="CT29" s="143"/>
      <c r="CU29" s="14">
        <f t="shared" si="23"/>
        <v>30</v>
      </c>
      <c r="CV29" s="5">
        <f t="shared" si="24"/>
        <v>1443</v>
      </c>
      <c r="CW29" s="4">
        <f t="shared" si="24"/>
        <v>1423</v>
      </c>
      <c r="CX29" s="6">
        <f t="shared" si="25"/>
        <v>30</v>
      </c>
      <c r="CY29" s="162">
        <v>170</v>
      </c>
      <c r="CZ29" s="171">
        <f t="shared" si="26"/>
        <v>5100</v>
      </c>
      <c r="DB29" s="2">
        <f t="shared" si="34"/>
        <v>30</v>
      </c>
      <c r="DC29" s="61"/>
      <c r="DD29" s="143"/>
      <c r="DE29" s="149">
        <f t="shared" si="35"/>
        <v>30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1"/>
      <c r="AL30" s="143"/>
      <c r="AM30" s="13">
        <f t="shared" si="6"/>
        <v>0</v>
      </c>
      <c r="AN30" s="61"/>
      <c r="AO30" s="143"/>
      <c r="AP30" s="13">
        <f t="shared" si="7"/>
        <v>0</v>
      </c>
      <c r="AQ30" s="61"/>
      <c r="AR30" s="143"/>
      <c r="AS30" s="13">
        <f t="shared" si="8"/>
        <v>0</v>
      </c>
      <c r="AT30" s="61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1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1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1"/>
      <c r="AL31" s="143"/>
      <c r="AM31" s="13">
        <f t="shared" si="6"/>
        <v>0</v>
      </c>
      <c r="AN31" s="61"/>
      <c r="AO31" s="143"/>
      <c r="AP31" s="13">
        <f t="shared" si="7"/>
        <v>0</v>
      </c>
      <c r="AQ31" s="61"/>
      <c r="AR31" s="143"/>
      <c r="AS31" s="13">
        <f t="shared" si="8"/>
        <v>0</v>
      </c>
      <c r="AT31" s="61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1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1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12</v>
      </c>
      <c r="G32" s="62">
        <f>-39-8+72+48</f>
        <v>73</v>
      </c>
      <c r="H32" s="143">
        <f>6+3+3</f>
        <v>12</v>
      </c>
      <c r="I32" s="13">
        <f t="shared" si="0"/>
        <v>73</v>
      </c>
      <c r="J32" s="62">
        <f>-42-24-24+240+96</f>
        <v>246</v>
      </c>
      <c r="K32" s="143">
        <f>12+50+11</f>
        <v>73</v>
      </c>
      <c r="L32" s="13">
        <f t="shared" si="1"/>
        <v>246</v>
      </c>
      <c r="M32" s="62"/>
      <c r="N32" s="143"/>
      <c r="O32" s="13">
        <f t="shared" si="2"/>
        <v>246</v>
      </c>
      <c r="P32" s="62">
        <f>120+72</f>
        <v>192</v>
      </c>
      <c r="Q32" s="143">
        <f>16+7+72+12+24+52+24</f>
        <v>207</v>
      </c>
      <c r="R32" s="30">
        <f t="shared" si="3"/>
        <v>231</v>
      </c>
      <c r="S32" s="62">
        <f>240+48</f>
        <v>288</v>
      </c>
      <c r="T32" s="143">
        <f>2+5+12+29+144+33+3</f>
        <v>228</v>
      </c>
      <c r="U32" s="13">
        <f t="shared" si="4"/>
        <v>291</v>
      </c>
      <c r="V32" s="62"/>
      <c r="W32" s="143">
        <f>15+1</f>
        <v>16</v>
      </c>
      <c r="X32" s="13">
        <f t="shared" si="5"/>
        <v>275</v>
      </c>
      <c r="Y32" s="62">
        <v>48</v>
      </c>
      <c r="Z32" s="143">
        <f>6+24+24+24+52+6</f>
        <v>136</v>
      </c>
      <c r="AA32" s="13">
        <f t="shared" si="27"/>
        <v>187</v>
      </c>
      <c r="AB32" s="62">
        <f>120+96</f>
        <v>216</v>
      </c>
      <c r="AC32" s="143">
        <f>2+6+10+48+60</f>
        <v>126</v>
      </c>
      <c r="AD32" s="13">
        <f t="shared" si="28"/>
        <v>277</v>
      </c>
      <c r="AE32" s="62">
        <f>-23+240+168</f>
        <v>385</v>
      </c>
      <c r="AF32" s="143">
        <f>10+2+1+192+70+2</f>
        <v>277</v>
      </c>
      <c r="AG32" s="13">
        <f t="shared" si="29"/>
        <v>385</v>
      </c>
      <c r="AH32" s="62"/>
      <c r="AI32" s="143"/>
      <c r="AJ32" s="13">
        <f t="shared" si="30"/>
        <v>385</v>
      </c>
      <c r="AK32" s="61">
        <f>5*24</f>
        <v>120</v>
      </c>
      <c r="AL32" s="143">
        <f>4+8+120+64</f>
        <v>196</v>
      </c>
      <c r="AM32" s="13">
        <f t="shared" si="6"/>
        <v>309</v>
      </c>
      <c r="AN32" s="61">
        <f>24*5</f>
        <v>120</v>
      </c>
      <c r="AO32" s="143">
        <f>22+96+1+6+62+1</f>
        <v>188</v>
      </c>
      <c r="AP32" s="13">
        <f t="shared" si="7"/>
        <v>241</v>
      </c>
      <c r="AQ32" s="61">
        <f>3*24+48</f>
        <v>120</v>
      </c>
      <c r="AR32" s="143"/>
      <c r="AS32" s="13">
        <f t="shared" si="8"/>
        <v>361</v>
      </c>
      <c r="AT32" s="61">
        <f>3*24+72</f>
        <v>144</v>
      </c>
      <c r="AU32" s="143">
        <f>6+4+5+12+5+120+46</f>
        <v>198</v>
      </c>
      <c r="AV32" s="13">
        <f t="shared" si="9"/>
        <v>307</v>
      </c>
      <c r="AW32" s="64">
        <v>1</v>
      </c>
      <c r="AX32" s="143">
        <f>3+5+21+48+53</f>
        <v>130</v>
      </c>
      <c r="AY32" s="13">
        <f t="shared" si="10"/>
        <v>178</v>
      </c>
      <c r="AZ32" s="62">
        <f>-36+144+72</f>
        <v>180</v>
      </c>
      <c r="BA32" s="143">
        <f>10+5+8+144+11</f>
        <v>178</v>
      </c>
      <c r="BB32" s="13">
        <f t="shared" si="11"/>
        <v>180</v>
      </c>
      <c r="BC32" s="62"/>
      <c r="BD32" s="143"/>
      <c r="BE32" s="13">
        <f t="shared" si="12"/>
        <v>180</v>
      </c>
      <c r="BF32" s="62">
        <f>120+72</f>
        <v>192</v>
      </c>
      <c r="BG32" s="143">
        <f>5+16+25-25+10+24+6</f>
        <v>61</v>
      </c>
      <c r="BH32" s="13">
        <f t="shared" si="13"/>
        <v>311</v>
      </c>
      <c r="BI32" s="62"/>
      <c r="BJ32" s="143">
        <f>8+5+12+14+2+2</f>
        <v>43</v>
      </c>
      <c r="BK32" s="13">
        <f t="shared" si="14"/>
        <v>268</v>
      </c>
      <c r="BL32" s="62"/>
      <c r="BM32" s="143"/>
      <c r="BN32" s="13">
        <f t="shared" si="15"/>
        <v>268</v>
      </c>
      <c r="BO32" s="62"/>
      <c r="BP32" s="143">
        <f>12+10+48+6+24</f>
        <v>100</v>
      </c>
      <c r="BQ32" s="13">
        <f t="shared" si="16"/>
        <v>168</v>
      </c>
      <c r="BR32" s="62"/>
      <c r="BS32" s="143">
        <f>2+6+19</f>
        <v>27</v>
      </c>
      <c r="BT32" s="13">
        <f t="shared" si="17"/>
        <v>141</v>
      </c>
      <c r="BU32" s="62">
        <f>-16+96</f>
        <v>80</v>
      </c>
      <c r="BV32" s="143">
        <f>12+18+42+6+63</f>
        <v>141</v>
      </c>
      <c r="BW32" s="13">
        <f t="shared" si="18"/>
        <v>80</v>
      </c>
      <c r="BX32" s="62"/>
      <c r="BY32" s="143"/>
      <c r="BZ32" s="13">
        <f t="shared" si="19"/>
        <v>80</v>
      </c>
      <c r="CA32" s="62">
        <f>6*24-12+48</f>
        <v>180</v>
      </c>
      <c r="CB32" s="143">
        <f>6+48+21+5</f>
        <v>80</v>
      </c>
      <c r="CC32" s="13">
        <f t="shared" si="20"/>
        <v>180</v>
      </c>
      <c r="CD32" s="61">
        <v>48</v>
      </c>
      <c r="CE32" s="143">
        <f>10+6+10+10+38+24+33</f>
        <v>131</v>
      </c>
      <c r="CF32" s="13">
        <f t="shared" si="21"/>
        <v>97</v>
      </c>
      <c r="CG32" s="62"/>
      <c r="CH32" s="143"/>
      <c r="CI32" s="13">
        <f t="shared" si="31"/>
        <v>97</v>
      </c>
      <c r="CJ32" s="61">
        <f>-27+48+96+1+1</f>
        <v>119</v>
      </c>
      <c r="CK32" s="143">
        <f>6+9+7+24+24+24+3</f>
        <v>97</v>
      </c>
      <c r="CL32" s="13">
        <f t="shared" si="32"/>
        <v>119</v>
      </c>
      <c r="CM32" s="62">
        <f>24</f>
        <v>24</v>
      </c>
      <c r="CN32" s="143">
        <f>3+6+8+29</f>
        <v>46</v>
      </c>
      <c r="CO32" s="13">
        <f t="shared" si="22"/>
        <v>97</v>
      </c>
      <c r="CP32" s="62">
        <f>-55+72</f>
        <v>17</v>
      </c>
      <c r="CQ32" s="143">
        <f>8+48+22+18</f>
        <v>96</v>
      </c>
      <c r="CR32" s="13">
        <f t="shared" si="33"/>
        <v>18</v>
      </c>
      <c r="CS32" s="62"/>
      <c r="CT32" s="143"/>
      <c r="CU32" s="14">
        <f t="shared" si="23"/>
        <v>18</v>
      </c>
      <c r="CV32" s="5">
        <f t="shared" si="24"/>
        <v>2793</v>
      </c>
      <c r="CW32" s="4">
        <f t="shared" si="24"/>
        <v>2787</v>
      </c>
      <c r="CX32" s="6">
        <f t="shared" si="25"/>
        <v>18</v>
      </c>
      <c r="CY32" s="162">
        <v>133</v>
      </c>
      <c r="CZ32" s="171">
        <f t="shared" si="26"/>
        <v>2394</v>
      </c>
      <c r="DB32" s="2">
        <f t="shared" si="34"/>
        <v>18</v>
      </c>
      <c r="DC32" s="61"/>
      <c r="DD32" s="143"/>
      <c r="DE32" s="149">
        <f t="shared" si="35"/>
        <v>18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1"/>
      <c r="AL33" s="143"/>
      <c r="AM33" s="13">
        <f t="shared" si="6"/>
        <v>0</v>
      </c>
      <c r="AN33" s="61"/>
      <c r="AO33" s="143"/>
      <c r="AP33" s="13">
        <f t="shared" si="7"/>
        <v>0</v>
      </c>
      <c r="AQ33" s="61"/>
      <c r="AR33" s="143"/>
      <c r="AS33" s="13">
        <f t="shared" si="8"/>
        <v>0</v>
      </c>
      <c r="AT33" s="61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1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1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1"/>
      <c r="AL34" s="143"/>
      <c r="AM34" s="13">
        <f t="shared" si="6"/>
        <v>0</v>
      </c>
      <c r="AN34" s="61"/>
      <c r="AO34" s="143"/>
      <c r="AP34" s="13">
        <f t="shared" si="7"/>
        <v>0</v>
      </c>
      <c r="AQ34" s="61"/>
      <c r="AR34" s="143"/>
      <c r="AS34" s="13">
        <f t="shared" si="8"/>
        <v>0</v>
      </c>
      <c r="AT34" s="61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1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1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1"/>
      <c r="AL35" s="143"/>
      <c r="AM35" s="13">
        <f t="shared" si="6"/>
        <v>0</v>
      </c>
      <c r="AN35" s="61"/>
      <c r="AO35" s="143"/>
      <c r="AP35" s="13">
        <f t="shared" si="7"/>
        <v>0</v>
      </c>
      <c r="AQ35" s="61"/>
      <c r="AR35" s="143"/>
      <c r="AS35" s="13">
        <f t="shared" si="8"/>
        <v>0</v>
      </c>
      <c r="AT35" s="61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1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1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9</v>
      </c>
      <c r="G36" s="62">
        <f>2+4</f>
        <v>6</v>
      </c>
      <c r="H36" s="143">
        <v>4</v>
      </c>
      <c r="I36" s="13">
        <f t="shared" si="0"/>
        <v>11</v>
      </c>
      <c r="J36" s="62">
        <f>-6+2+4+6</f>
        <v>6</v>
      </c>
      <c r="K36" s="143">
        <f>6</f>
        <v>6</v>
      </c>
      <c r="L36" s="13">
        <f t="shared" si="1"/>
        <v>11</v>
      </c>
      <c r="M36" s="62"/>
      <c r="N36" s="143"/>
      <c r="O36" s="13">
        <f t="shared" si="2"/>
        <v>11</v>
      </c>
      <c r="P36" s="62">
        <f>2+4+1</f>
        <v>7</v>
      </c>
      <c r="Q36" s="143">
        <v>7</v>
      </c>
      <c r="R36" s="30">
        <f t="shared" si="3"/>
        <v>11</v>
      </c>
      <c r="S36" s="62">
        <f>2+4</f>
        <v>6</v>
      </c>
      <c r="T36" s="143">
        <v>5</v>
      </c>
      <c r="U36" s="13">
        <f t="shared" si="4"/>
        <v>12</v>
      </c>
      <c r="V36" s="62"/>
      <c r="W36" s="143"/>
      <c r="X36" s="13">
        <f t="shared" si="5"/>
        <v>12</v>
      </c>
      <c r="Y36" s="62">
        <f>2+4</f>
        <v>6</v>
      </c>
      <c r="Z36" s="143">
        <f>5+3+1</f>
        <v>9</v>
      </c>
      <c r="AA36" s="13">
        <f t="shared" si="27"/>
        <v>9</v>
      </c>
      <c r="AB36" s="62">
        <f>2+4+4</f>
        <v>10</v>
      </c>
      <c r="AC36" s="143">
        <v>4</v>
      </c>
      <c r="AD36" s="13">
        <f t="shared" si="28"/>
        <v>15</v>
      </c>
      <c r="AE36" s="62">
        <f>2+4+6</f>
        <v>12</v>
      </c>
      <c r="AF36" s="143">
        <f>4+7</f>
        <v>11</v>
      </c>
      <c r="AG36" s="13">
        <f t="shared" si="29"/>
        <v>16</v>
      </c>
      <c r="AH36" s="62"/>
      <c r="AI36" s="143"/>
      <c r="AJ36" s="13">
        <f t="shared" si="30"/>
        <v>16</v>
      </c>
      <c r="AK36" s="61">
        <f>6+4</f>
        <v>10</v>
      </c>
      <c r="AL36" s="143">
        <f>3+3</f>
        <v>6</v>
      </c>
      <c r="AM36" s="13">
        <f t="shared" si="6"/>
        <v>20</v>
      </c>
      <c r="AN36" s="61">
        <f>2+4+4</f>
        <v>10</v>
      </c>
      <c r="AO36" s="143">
        <f>7</f>
        <v>7</v>
      </c>
      <c r="AP36" s="13">
        <f t="shared" si="7"/>
        <v>23</v>
      </c>
      <c r="AQ36" s="61"/>
      <c r="AR36" s="143"/>
      <c r="AS36" s="13">
        <f t="shared" si="8"/>
        <v>23</v>
      </c>
      <c r="AT36" s="61"/>
      <c r="AU36" s="143">
        <v>8</v>
      </c>
      <c r="AV36" s="13">
        <f t="shared" si="9"/>
        <v>15</v>
      </c>
      <c r="AW36" s="62"/>
      <c r="AX36" s="143">
        <v>4</v>
      </c>
      <c r="AY36" s="13">
        <f t="shared" si="10"/>
        <v>11</v>
      </c>
      <c r="AZ36" s="62">
        <f>2+4</f>
        <v>6</v>
      </c>
      <c r="BA36" s="143">
        <f>1+7+3</f>
        <v>11</v>
      </c>
      <c r="BB36" s="13">
        <f t="shared" si="11"/>
        <v>6</v>
      </c>
      <c r="BC36" s="62"/>
      <c r="BD36" s="143"/>
      <c r="BE36" s="13">
        <f t="shared" si="12"/>
        <v>6</v>
      </c>
      <c r="BF36" s="62">
        <f>-4-1+6+8</f>
        <v>9</v>
      </c>
      <c r="BG36" s="143">
        <v>6</v>
      </c>
      <c r="BH36" s="13">
        <f t="shared" si="13"/>
        <v>9</v>
      </c>
      <c r="BI36" s="62">
        <f>2+4</f>
        <v>6</v>
      </c>
      <c r="BJ36" s="143">
        <f>1+7</f>
        <v>8</v>
      </c>
      <c r="BK36" s="13">
        <f t="shared" si="14"/>
        <v>7</v>
      </c>
      <c r="BL36" s="62"/>
      <c r="BM36" s="143">
        <f>1</f>
        <v>1</v>
      </c>
      <c r="BN36" s="13">
        <f t="shared" si="15"/>
        <v>6</v>
      </c>
      <c r="BO36" s="62">
        <v>8</v>
      </c>
      <c r="BP36" s="143">
        <v>4</v>
      </c>
      <c r="BQ36" s="13">
        <f t="shared" si="16"/>
        <v>10</v>
      </c>
      <c r="BR36" s="62">
        <f>2+4</f>
        <v>6</v>
      </c>
      <c r="BS36" s="143">
        <v>7</v>
      </c>
      <c r="BT36" s="13">
        <f t="shared" si="17"/>
        <v>9</v>
      </c>
      <c r="BU36" s="62">
        <f>2+2+4</f>
        <v>8</v>
      </c>
      <c r="BV36" s="143">
        <v>8</v>
      </c>
      <c r="BW36" s="13">
        <f t="shared" si="18"/>
        <v>9</v>
      </c>
      <c r="BX36" s="62"/>
      <c r="BY36" s="143"/>
      <c r="BZ36" s="13">
        <f t="shared" si="19"/>
        <v>9</v>
      </c>
      <c r="CA36" s="62">
        <f>2+4+4</f>
        <v>10</v>
      </c>
      <c r="CB36" s="143">
        <f>3+6</f>
        <v>9</v>
      </c>
      <c r="CC36" s="13">
        <f t="shared" si="20"/>
        <v>10</v>
      </c>
      <c r="CD36" s="61">
        <f>2+4</f>
        <v>6</v>
      </c>
      <c r="CE36" s="143">
        <v>5</v>
      </c>
      <c r="CF36" s="13">
        <f t="shared" si="21"/>
        <v>11</v>
      </c>
      <c r="CG36" s="62"/>
      <c r="CH36" s="143"/>
      <c r="CI36" s="13">
        <f t="shared" si="31"/>
        <v>11</v>
      </c>
      <c r="CJ36" s="61">
        <f>4+2+4</f>
        <v>10</v>
      </c>
      <c r="CK36" s="143">
        <v>8</v>
      </c>
      <c r="CL36" s="13">
        <f t="shared" si="32"/>
        <v>13</v>
      </c>
      <c r="CM36" s="62">
        <f>2+4</f>
        <v>6</v>
      </c>
      <c r="CN36" s="143">
        <f>1+3+4</f>
        <v>8</v>
      </c>
      <c r="CO36" s="13">
        <f t="shared" si="22"/>
        <v>11</v>
      </c>
      <c r="CP36" s="62">
        <f>4+2</f>
        <v>6</v>
      </c>
      <c r="CQ36" s="143">
        <v>7</v>
      </c>
      <c r="CR36" s="13">
        <f t="shared" si="33"/>
        <v>10</v>
      </c>
      <c r="CS36" s="62"/>
      <c r="CT36" s="143"/>
      <c r="CU36" s="14">
        <f t="shared" si="23"/>
        <v>10</v>
      </c>
      <c r="CV36" s="5">
        <f t="shared" si="24"/>
        <v>154</v>
      </c>
      <c r="CW36" s="4">
        <f t="shared" si="24"/>
        <v>153</v>
      </c>
      <c r="CX36" s="6">
        <f t="shared" si="25"/>
        <v>10</v>
      </c>
      <c r="CY36" s="162">
        <v>2000</v>
      </c>
      <c r="CZ36" s="171">
        <f t="shared" si="26"/>
        <v>20000</v>
      </c>
      <c r="DB36" s="2">
        <f t="shared" si="34"/>
        <v>10</v>
      </c>
      <c r="DC36" s="61"/>
      <c r="DD36" s="143"/>
      <c r="DE36" s="149">
        <f t="shared" si="35"/>
        <v>10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1"/>
      <c r="AL37" s="143"/>
      <c r="AM37" s="13">
        <f t="shared" si="6"/>
        <v>0</v>
      </c>
      <c r="AN37" s="61"/>
      <c r="AO37" s="143"/>
      <c r="AP37" s="13">
        <f t="shared" si="7"/>
        <v>0</v>
      </c>
      <c r="AQ37" s="61"/>
      <c r="AR37" s="143"/>
      <c r="AS37" s="13">
        <f t="shared" si="8"/>
        <v>0</v>
      </c>
      <c r="AT37" s="61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1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1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1"/>
      <c r="AL38" s="143"/>
      <c r="AM38" s="13">
        <f t="shared" si="6"/>
        <v>0</v>
      </c>
      <c r="AN38" s="61"/>
      <c r="AO38" s="143"/>
      <c r="AP38" s="13">
        <f t="shared" si="7"/>
        <v>0</v>
      </c>
      <c r="AQ38" s="61"/>
      <c r="AR38" s="143"/>
      <c r="AS38" s="13">
        <f t="shared" si="8"/>
        <v>0</v>
      </c>
      <c r="AT38" s="61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2</v>
      </c>
      <c r="G39" s="62">
        <f>-1+10</f>
        <v>9</v>
      </c>
      <c r="H39" s="143">
        <f>1+1</f>
        <v>2</v>
      </c>
      <c r="I39" s="13">
        <f t="shared" si="0"/>
        <v>9</v>
      </c>
      <c r="J39" s="62">
        <v>10</v>
      </c>
      <c r="K39" s="143">
        <f>4+1+3</f>
        <v>8</v>
      </c>
      <c r="L39" s="13">
        <f t="shared" si="1"/>
        <v>11</v>
      </c>
      <c r="M39" s="62"/>
      <c r="N39" s="143"/>
      <c r="O39" s="13">
        <f t="shared" si="2"/>
        <v>11</v>
      </c>
      <c r="P39" s="62"/>
      <c r="Q39" s="143">
        <f>4+2</f>
        <v>6</v>
      </c>
      <c r="R39" s="30">
        <f t="shared" si="3"/>
        <v>5</v>
      </c>
      <c r="S39" s="62">
        <v>10</v>
      </c>
      <c r="T39" s="143">
        <f>2+2</f>
        <v>4</v>
      </c>
      <c r="U39" s="13">
        <f t="shared" si="4"/>
        <v>11</v>
      </c>
      <c r="V39" s="62"/>
      <c r="W39" s="143">
        <f>9</f>
        <v>9</v>
      </c>
      <c r="X39" s="13">
        <f t="shared" si="5"/>
        <v>2</v>
      </c>
      <c r="Y39" s="62">
        <f>-5+10</f>
        <v>5</v>
      </c>
      <c r="Z39" s="143">
        <v>2</v>
      </c>
      <c r="AA39" s="13">
        <f t="shared" si="27"/>
        <v>5</v>
      </c>
      <c r="AB39" s="62">
        <v>10</v>
      </c>
      <c r="AC39" s="143">
        <v>2</v>
      </c>
      <c r="AD39" s="13">
        <f t="shared" si="28"/>
        <v>13</v>
      </c>
      <c r="AE39" s="62">
        <v>20</v>
      </c>
      <c r="AF39" s="143">
        <f>2+6</f>
        <v>8</v>
      </c>
      <c r="AG39" s="13">
        <f t="shared" si="29"/>
        <v>25</v>
      </c>
      <c r="AH39" s="62"/>
      <c r="AI39" s="143"/>
      <c r="AJ39" s="13">
        <f t="shared" si="30"/>
        <v>25</v>
      </c>
      <c r="AK39" s="61"/>
      <c r="AL39" s="143">
        <f>3</f>
        <v>3</v>
      </c>
      <c r="AM39" s="13">
        <f t="shared" si="6"/>
        <v>22</v>
      </c>
      <c r="AN39" s="61">
        <v>10</v>
      </c>
      <c r="AO39" s="143">
        <f>5+4+2+6</f>
        <v>17</v>
      </c>
      <c r="AP39" s="13">
        <f t="shared" si="7"/>
        <v>15</v>
      </c>
      <c r="AQ39" s="61"/>
      <c r="AR39" s="143"/>
      <c r="AS39" s="13">
        <f t="shared" si="8"/>
        <v>15</v>
      </c>
      <c r="AT39" s="61"/>
      <c r="AU39" s="143">
        <f>2+1+4</f>
        <v>7</v>
      </c>
      <c r="AV39" s="13">
        <f t="shared" si="9"/>
        <v>8</v>
      </c>
      <c r="AW39" s="62"/>
      <c r="AX39" s="143">
        <f>2+3</f>
        <v>5</v>
      </c>
      <c r="AY39" s="13">
        <f t="shared" si="10"/>
        <v>3</v>
      </c>
      <c r="AZ39" s="62">
        <f>-7+10+10</f>
        <v>13</v>
      </c>
      <c r="BA39" s="143">
        <f>2+1</f>
        <v>3</v>
      </c>
      <c r="BB39" s="13">
        <f t="shared" si="11"/>
        <v>13</v>
      </c>
      <c r="BC39" s="62"/>
      <c r="BD39" s="143"/>
      <c r="BE39" s="13">
        <f t="shared" si="12"/>
        <v>13</v>
      </c>
      <c r="BF39" s="62"/>
      <c r="BG39" s="143">
        <f>1+4+2</f>
        <v>7</v>
      </c>
      <c r="BH39" s="13">
        <f t="shared" si="13"/>
        <v>6</v>
      </c>
      <c r="BI39" s="62">
        <f>10+10</f>
        <v>20</v>
      </c>
      <c r="BJ39" s="143">
        <v>3</v>
      </c>
      <c r="BK39" s="13">
        <f t="shared" si="14"/>
        <v>23</v>
      </c>
      <c r="BL39" s="62"/>
      <c r="BM39" s="143">
        <f>3+2+9</f>
        <v>14</v>
      </c>
      <c r="BN39" s="13">
        <f t="shared" si="15"/>
        <v>9</v>
      </c>
      <c r="BO39" s="62"/>
      <c r="BP39" s="143">
        <v>5</v>
      </c>
      <c r="BQ39" s="13">
        <f t="shared" si="16"/>
        <v>4</v>
      </c>
      <c r="BR39" s="62">
        <f>10+10</f>
        <v>20</v>
      </c>
      <c r="BS39" s="143">
        <f>4</f>
        <v>4</v>
      </c>
      <c r="BT39" s="13">
        <f t="shared" si="17"/>
        <v>20</v>
      </c>
      <c r="BU39" s="62">
        <v>10</v>
      </c>
      <c r="BV39" s="143">
        <f>9+4</f>
        <v>13</v>
      </c>
      <c r="BW39" s="13">
        <f t="shared" si="18"/>
        <v>17</v>
      </c>
      <c r="BX39" s="62"/>
      <c r="BY39" s="143"/>
      <c r="BZ39" s="13">
        <f t="shared" si="19"/>
        <v>17</v>
      </c>
      <c r="CA39" s="62">
        <v>10</v>
      </c>
      <c r="CB39" s="143">
        <f>2+6+2</f>
        <v>10</v>
      </c>
      <c r="CC39" s="13">
        <f t="shared" si="20"/>
        <v>17</v>
      </c>
      <c r="CD39" s="61"/>
      <c r="CE39" s="143">
        <f>1+7+4</f>
        <v>12</v>
      </c>
      <c r="CF39" s="13">
        <f t="shared" si="21"/>
        <v>5</v>
      </c>
      <c r="CG39" s="62"/>
      <c r="CH39" s="143"/>
      <c r="CI39" s="13">
        <f t="shared" si="31"/>
        <v>5</v>
      </c>
      <c r="CJ39" s="61"/>
      <c r="CK39" s="143">
        <v>2</v>
      </c>
      <c r="CL39" s="13">
        <f t="shared" si="32"/>
        <v>3</v>
      </c>
      <c r="CM39" s="62">
        <v>10</v>
      </c>
      <c r="CN39" s="143">
        <v>3</v>
      </c>
      <c r="CO39" s="13">
        <f t="shared" si="22"/>
        <v>10</v>
      </c>
      <c r="CP39" s="62">
        <f>-5+10</f>
        <v>5</v>
      </c>
      <c r="CQ39" s="143">
        <f>6+4</f>
        <v>10</v>
      </c>
      <c r="CR39" s="13">
        <f t="shared" si="33"/>
        <v>5</v>
      </c>
      <c r="CS39" s="62"/>
      <c r="CT39" s="143"/>
      <c r="CU39" s="14">
        <f t="shared" si="23"/>
        <v>5</v>
      </c>
      <c r="CV39" s="5">
        <f t="shared" si="36"/>
        <v>162</v>
      </c>
      <c r="CW39" s="4">
        <f t="shared" si="36"/>
        <v>159</v>
      </c>
      <c r="CX39" s="6">
        <f t="shared" si="25"/>
        <v>5</v>
      </c>
      <c r="CY39" s="162">
        <v>110</v>
      </c>
      <c r="CZ39" s="171">
        <f t="shared" si="26"/>
        <v>550</v>
      </c>
      <c r="DB39" s="2">
        <f t="shared" si="34"/>
        <v>5</v>
      </c>
      <c r="DC39" s="61"/>
      <c r="DD39" s="143"/>
      <c r="DE39" s="149">
        <f t="shared" si="35"/>
        <v>5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14.759999999999996</v>
      </c>
      <c r="G40" s="62">
        <v>30</v>
      </c>
      <c r="H40" s="143">
        <f>1.3+0.3+0.2+0.1+0.1+0.1+0.4</f>
        <v>2.5</v>
      </c>
      <c r="I40" s="13">
        <f t="shared" si="0"/>
        <v>42.26</v>
      </c>
      <c r="J40" s="62"/>
      <c r="K40" s="143">
        <f>0.5+0.9+0.5+0.5</f>
        <v>2.4</v>
      </c>
      <c r="L40" s="13">
        <f t="shared" si="1"/>
        <v>39.86</v>
      </c>
      <c r="M40" s="62"/>
      <c r="N40" s="143"/>
      <c r="O40" s="13">
        <f t="shared" si="2"/>
        <v>39.86</v>
      </c>
      <c r="P40" s="62">
        <v>20</v>
      </c>
      <c r="Q40" s="143">
        <f>1.3+1.3+1.6+0.7+1+0.9+0.9+5.6+1+0.7+1.9</f>
        <v>16.899999999999999</v>
      </c>
      <c r="R40" s="30">
        <f t="shared" si="3"/>
        <v>42.96</v>
      </c>
      <c r="S40" s="62">
        <v>20</v>
      </c>
      <c r="T40" s="143">
        <f>0.7+0.5+1.9+2.7+1.5+1+1.2</f>
        <v>9.5</v>
      </c>
      <c r="U40" s="13">
        <f t="shared" si="4"/>
        <v>53.46</v>
      </c>
      <c r="V40" s="62"/>
      <c r="W40" s="143">
        <f>1.3+1.6+0.9+0.9+1.3+1.5+1.3+2+0.3</f>
        <v>11.100000000000001</v>
      </c>
      <c r="X40" s="13">
        <f t="shared" si="5"/>
        <v>42.36</v>
      </c>
      <c r="Y40" s="62"/>
      <c r="Z40" s="143">
        <f>3.3+0.9+2.3+0.7+1+0.8+1.5+0.5</f>
        <v>11</v>
      </c>
      <c r="AA40" s="13">
        <f t="shared" si="27"/>
        <v>31.36</v>
      </c>
      <c r="AB40" s="62"/>
      <c r="AC40" s="143">
        <f>0.2+0.3+0.2+0.2+3</f>
        <v>3.9</v>
      </c>
      <c r="AD40" s="13">
        <f t="shared" si="28"/>
        <v>27.46</v>
      </c>
      <c r="AE40" s="62"/>
      <c r="AF40" s="143">
        <f>0.7+1+0.3+0.6</f>
        <v>2.6</v>
      </c>
      <c r="AG40" s="13">
        <f t="shared" si="29"/>
        <v>24.86</v>
      </c>
      <c r="AH40" s="62"/>
      <c r="AI40" s="143"/>
      <c r="AJ40" s="13">
        <f t="shared" si="30"/>
        <v>24.86</v>
      </c>
      <c r="AK40" s="61">
        <v>20</v>
      </c>
      <c r="AL40" s="143">
        <f>0.6</f>
        <v>0.6</v>
      </c>
      <c r="AM40" s="13">
        <f t="shared" si="6"/>
        <v>44.26</v>
      </c>
      <c r="AN40" s="61"/>
      <c r="AO40" s="143">
        <f>0.8+0.6+1.9+1.1+0.6+0.5+0.6+0.7+0.4+0.9+0.8</f>
        <v>8.9</v>
      </c>
      <c r="AP40" s="13">
        <f t="shared" si="7"/>
        <v>35.36</v>
      </c>
      <c r="AQ40" s="61"/>
      <c r="AR40" s="143">
        <f>0.8+1+0.3+0.4+0.6+1+8</f>
        <v>12.1</v>
      </c>
      <c r="AS40" s="13">
        <f t="shared" si="8"/>
        <v>23.259999999999998</v>
      </c>
      <c r="AT40" s="61"/>
      <c r="AU40" s="143">
        <f>0.8+1+1.4+0.4+0.6</f>
        <v>4.2</v>
      </c>
      <c r="AV40" s="13">
        <f t="shared" si="9"/>
        <v>19.059999999999999</v>
      </c>
      <c r="AW40" s="62"/>
      <c r="AX40" s="143">
        <f>0.8+0.4+0.2+0.2+0.4+0.2</f>
        <v>2.2000000000000002</v>
      </c>
      <c r="AY40" s="13">
        <f t="shared" si="10"/>
        <v>16.86</v>
      </c>
      <c r="AZ40" s="62">
        <v>30</v>
      </c>
      <c r="BA40" s="143">
        <f>0.5+0.9+0.8+0.7</f>
        <v>2.9000000000000004</v>
      </c>
      <c r="BB40" s="13">
        <f t="shared" si="11"/>
        <v>43.96</v>
      </c>
      <c r="BC40" s="62"/>
      <c r="BD40" s="143"/>
      <c r="BE40" s="13">
        <f t="shared" si="12"/>
        <v>43.96</v>
      </c>
      <c r="BF40" s="62"/>
      <c r="BG40" s="143">
        <f>1.3+1.4+1.6+1.4+1.6+1+0.8+0.8+1+0.9+4.6+0.7</f>
        <v>17.100000000000001</v>
      </c>
      <c r="BH40" s="13">
        <f t="shared" si="13"/>
        <v>26.86</v>
      </c>
      <c r="BI40" s="62">
        <v>20</v>
      </c>
      <c r="BJ40" s="143">
        <f>0.7+0.5+1.5+0.9+0.9+2</f>
        <v>6.5</v>
      </c>
      <c r="BK40" s="13">
        <f t="shared" si="14"/>
        <v>40.36</v>
      </c>
      <c r="BL40" s="62"/>
      <c r="BM40" s="143">
        <f>1.3+1.8+1+0.7+1+1.1+2</f>
        <v>8.9</v>
      </c>
      <c r="BN40" s="13">
        <f t="shared" si="15"/>
        <v>31.46</v>
      </c>
      <c r="BO40" s="62"/>
      <c r="BP40" s="143">
        <f>5.1+0.8+3.4+1+2.4+1+0.8+1</f>
        <v>15.5</v>
      </c>
      <c r="BQ40" s="13">
        <f t="shared" si="16"/>
        <v>15.96</v>
      </c>
      <c r="BR40" s="62"/>
      <c r="BS40" s="143">
        <f>0.2+0.4+0.1+0.2</f>
        <v>0.90000000000000013</v>
      </c>
      <c r="BT40" s="13">
        <f t="shared" si="17"/>
        <v>15.06</v>
      </c>
      <c r="BU40" s="62">
        <v>20</v>
      </c>
      <c r="BV40" s="143">
        <f>0.5+2.3</f>
        <v>2.8</v>
      </c>
      <c r="BW40" s="13">
        <f t="shared" si="18"/>
        <v>32.260000000000005</v>
      </c>
      <c r="BX40" s="62"/>
      <c r="BY40" s="143"/>
      <c r="BZ40" s="13">
        <f t="shared" si="19"/>
        <v>32.260000000000005</v>
      </c>
      <c r="CA40" s="62">
        <v>20</v>
      </c>
      <c r="CB40" s="143">
        <f>1.3+0.9+1+0.5+0.7+0.4+2.3+1.1+1+1.1+0.4</f>
        <v>10.700000000000001</v>
      </c>
      <c r="CC40" s="13">
        <f t="shared" si="20"/>
        <v>41.56</v>
      </c>
      <c r="CD40" s="62"/>
      <c r="CE40" s="143">
        <f>0.2+1.2+1.8+2.6+0.5+0.5+0.8+1+2.5+1.2</f>
        <v>12.3</v>
      </c>
      <c r="CF40" s="13">
        <f t="shared" si="21"/>
        <v>29.26</v>
      </c>
      <c r="CG40" s="62"/>
      <c r="CH40" s="143">
        <f>1.3+1.8+0.5+1.4+0.9+2.5+0.6+1</f>
        <v>10</v>
      </c>
      <c r="CI40" s="13">
        <f t="shared" si="31"/>
        <v>19.260000000000002</v>
      </c>
      <c r="CJ40" s="62">
        <v>20</v>
      </c>
      <c r="CK40" s="143">
        <f>1.9+1.1+1.7+1.7+0.9+1+1.4+0.4</f>
        <v>10.100000000000001</v>
      </c>
      <c r="CL40" s="13">
        <f t="shared" si="32"/>
        <v>29.160000000000004</v>
      </c>
      <c r="CM40" s="62"/>
      <c r="CN40" s="143">
        <f>1.4+0.3+0.2+0.2+0.3+0.3+0.3</f>
        <v>2.9999999999999996</v>
      </c>
      <c r="CO40" s="13">
        <f t="shared" si="22"/>
        <v>26.160000000000004</v>
      </c>
      <c r="CP40" s="62"/>
      <c r="CQ40" s="143">
        <f>1.9+1.7+1</f>
        <v>4.5999999999999996</v>
      </c>
      <c r="CR40" s="13">
        <f t="shared" si="33"/>
        <v>21.560000000000002</v>
      </c>
      <c r="CS40" s="62"/>
      <c r="CT40" s="143"/>
      <c r="CU40" s="14">
        <f t="shared" si="23"/>
        <v>21.560000000000002</v>
      </c>
      <c r="CV40" s="5">
        <f t="shared" si="36"/>
        <v>200</v>
      </c>
      <c r="CW40" s="4">
        <f t="shared" si="36"/>
        <v>193.20000000000002</v>
      </c>
      <c r="CX40" s="6">
        <f t="shared" si="25"/>
        <v>21.560000000000002</v>
      </c>
      <c r="CY40" s="162">
        <v>260</v>
      </c>
      <c r="CZ40" s="171">
        <f t="shared" si="26"/>
        <v>5605.6</v>
      </c>
      <c r="DB40" s="2">
        <f t="shared" si="34"/>
        <v>21.560000000000002</v>
      </c>
      <c r="DC40" s="62"/>
      <c r="DD40" s="143"/>
      <c r="DE40" s="149">
        <f t="shared" si="35"/>
        <v>21.560000000000002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1"/>
      <c r="AL41" s="143"/>
      <c r="AM41" s="13">
        <f t="shared" si="6"/>
        <v>0</v>
      </c>
      <c r="AN41" s="61"/>
      <c r="AO41" s="143"/>
      <c r="AP41" s="13">
        <f t="shared" si="7"/>
        <v>0</v>
      </c>
      <c r="AQ41" s="61"/>
      <c r="AR41" s="143"/>
      <c r="AS41" s="13">
        <f t="shared" si="8"/>
        <v>0</v>
      </c>
      <c r="AT41" s="61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1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1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1</v>
      </c>
      <c r="G42" s="62"/>
      <c r="H42" s="143"/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/>
      <c r="Q42" s="143"/>
      <c r="R42" s="30">
        <f t="shared" si="3"/>
        <v>1</v>
      </c>
      <c r="S42" s="62">
        <v>1</v>
      </c>
      <c r="T42" s="143">
        <v>1</v>
      </c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>
        <v>1</v>
      </c>
      <c r="AF42" s="143"/>
      <c r="AG42" s="13">
        <f t="shared" si="29"/>
        <v>2</v>
      </c>
      <c r="AH42" s="62"/>
      <c r="AI42" s="143"/>
      <c r="AJ42" s="13">
        <f t="shared" si="30"/>
        <v>2</v>
      </c>
      <c r="AK42" s="61"/>
      <c r="AL42" s="143">
        <v>1</v>
      </c>
      <c r="AM42" s="13">
        <f t="shared" si="6"/>
        <v>1</v>
      </c>
      <c r="AN42" s="61"/>
      <c r="AO42" s="143"/>
      <c r="AP42" s="13">
        <f t="shared" si="7"/>
        <v>1</v>
      </c>
      <c r="AQ42" s="61"/>
      <c r="AR42" s="143"/>
      <c r="AS42" s="13">
        <f t="shared" si="8"/>
        <v>1</v>
      </c>
      <c r="AT42" s="61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>
        <v>1</v>
      </c>
      <c r="BS42" s="143">
        <v>1</v>
      </c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1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1"/>
      <c r="CK42" s="143"/>
      <c r="CL42" s="13">
        <f t="shared" si="32"/>
        <v>1</v>
      </c>
      <c r="CM42" s="62"/>
      <c r="CN42" s="143"/>
      <c r="CO42" s="13">
        <f t="shared" si="22"/>
        <v>1</v>
      </c>
      <c r="CP42" s="62"/>
      <c r="CQ42" s="143">
        <v>1</v>
      </c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3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0.5</v>
      </c>
      <c r="G43" s="62">
        <v>1</v>
      </c>
      <c r="H43" s="143"/>
      <c r="I43" s="13">
        <f t="shared" si="0"/>
        <v>1.5</v>
      </c>
      <c r="J43" s="62"/>
      <c r="K43" s="143">
        <v>1</v>
      </c>
      <c r="L43" s="13">
        <f t="shared" si="1"/>
        <v>0.5</v>
      </c>
      <c r="M43" s="62"/>
      <c r="N43" s="143"/>
      <c r="O43" s="13">
        <f t="shared" si="2"/>
        <v>0.5</v>
      </c>
      <c r="P43" s="62">
        <v>1</v>
      </c>
      <c r="Q43" s="143"/>
      <c r="R43" s="30">
        <f t="shared" si="3"/>
        <v>1.5</v>
      </c>
      <c r="S43" s="62"/>
      <c r="T43" s="143">
        <f>1</f>
        <v>1</v>
      </c>
      <c r="U43" s="13">
        <f t="shared" si="4"/>
        <v>0.5</v>
      </c>
      <c r="V43" s="62"/>
      <c r="W43" s="143"/>
      <c r="X43" s="13">
        <f t="shared" si="5"/>
        <v>0.5</v>
      </c>
      <c r="Y43" s="62"/>
      <c r="Z43" s="143"/>
      <c r="AA43" s="13">
        <f t="shared" si="27"/>
        <v>0.5</v>
      </c>
      <c r="AB43" s="62"/>
      <c r="AC43" s="143"/>
      <c r="AD43" s="13">
        <f t="shared" si="28"/>
        <v>0.5</v>
      </c>
      <c r="AE43" s="62"/>
      <c r="AF43" s="143"/>
      <c r="AG43" s="13">
        <f t="shared" si="29"/>
        <v>0.5</v>
      </c>
      <c r="AH43" s="62"/>
      <c r="AI43" s="143"/>
      <c r="AJ43" s="13">
        <f t="shared" si="30"/>
        <v>0.5</v>
      </c>
      <c r="AK43" s="61"/>
      <c r="AL43" s="143"/>
      <c r="AM43" s="13">
        <f t="shared" si="6"/>
        <v>0.5</v>
      </c>
      <c r="AN43" s="61"/>
      <c r="AO43" s="143"/>
      <c r="AP43" s="13">
        <f t="shared" si="7"/>
        <v>0.5</v>
      </c>
      <c r="AQ43" s="61"/>
      <c r="AR43" s="143"/>
      <c r="AS43" s="13">
        <f t="shared" si="8"/>
        <v>0.5</v>
      </c>
      <c r="AT43" s="61"/>
      <c r="AU43" s="143"/>
      <c r="AV43" s="13">
        <f t="shared" si="9"/>
        <v>0.5</v>
      </c>
      <c r="AW43" s="62"/>
      <c r="AX43" s="143">
        <v>0.5</v>
      </c>
      <c r="AY43" s="13">
        <f t="shared" si="10"/>
        <v>0</v>
      </c>
      <c r="AZ43" s="62"/>
      <c r="BA43" s="143"/>
      <c r="BB43" s="13">
        <f t="shared" si="11"/>
        <v>0</v>
      </c>
      <c r="BC43" s="62"/>
      <c r="BD43" s="143"/>
      <c r="BE43" s="13">
        <f t="shared" si="12"/>
        <v>0</v>
      </c>
      <c r="BF43" s="62"/>
      <c r="BG43" s="143"/>
      <c r="BH43" s="13">
        <f t="shared" si="13"/>
        <v>0</v>
      </c>
      <c r="BI43" s="62">
        <f>-1+2</f>
        <v>1</v>
      </c>
      <c r="BJ43" s="143"/>
      <c r="BK43" s="13">
        <f t="shared" si="14"/>
        <v>1</v>
      </c>
      <c r="BL43" s="62"/>
      <c r="BM43" s="143"/>
      <c r="BN43" s="13">
        <f t="shared" si="15"/>
        <v>1</v>
      </c>
      <c r="BO43" s="62"/>
      <c r="BP43" s="143">
        <v>1</v>
      </c>
      <c r="BQ43" s="13">
        <f t="shared" si="16"/>
        <v>0</v>
      </c>
      <c r="BR43" s="62">
        <v>1</v>
      </c>
      <c r="BS43" s="143"/>
      <c r="BT43" s="13">
        <f t="shared" si="17"/>
        <v>1</v>
      </c>
      <c r="BU43" s="62"/>
      <c r="BV43" s="143"/>
      <c r="BW43" s="13">
        <f t="shared" si="18"/>
        <v>1</v>
      </c>
      <c r="BX43" s="62"/>
      <c r="BY43" s="143"/>
      <c r="BZ43" s="13">
        <f t="shared" si="19"/>
        <v>1</v>
      </c>
      <c r="CA43" s="62">
        <v>1</v>
      </c>
      <c r="CB43" s="143">
        <v>1</v>
      </c>
      <c r="CC43" s="13">
        <f t="shared" si="20"/>
        <v>1</v>
      </c>
      <c r="CD43" s="62"/>
      <c r="CE43" s="143">
        <v>1</v>
      </c>
      <c r="CF43" s="13">
        <f t="shared" si="21"/>
        <v>0</v>
      </c>
      <c r="CG43" s="62"/>
      <c r="CH43" s="143"/>
      <c r="CI43" s="13">
        <f t="shared" si="31"/>
        <v>0</v>
      </c>
      <c r="CJ43" s="62"/>
      <c r="CK43" s="143"/>
      <c r="CL43" s="13">
        <f t="shared" si="32"/>
        <v>0</v>
      </c>
      <c r="CM43" s="62"/>
      <c r="CN43" s="143"/>
      <c r="CO43" s="13">
        <f t="shared" si="22"/>
        <v>0</v>
      </c>
      <c r="CP43" s="62">
        <v>1</v>
      </c>
      <c r="CQ43" s="143"/>
      <c r="CR43" s="13">
        <f t="shared" si="33"/>
        <v>1</v>
      </c>
      <c r="CS43" s="62"/>
      <c r="CT43" s="143"/>
      <c r="CU43" s="14">
        <f t="shared" si="23"/>
        <v>1</v>
      </c>
      <c r="CV43" s="5">
        <f t="shared" si="36"/>
        <v>6</v>
      </c>
      <c r="CW43" s="4">
        <f t="shared" si="36"/>
        <v>5.5</v>
      </c>
      <c r="CX43" s="6">
        <f t="shared" si="25"/>
        <v>1</v>
      </c>
      <c r="CY43" s="162">
        <v>400</v>
      </c>
      <c r="CZ43" s="171">
        <f t="shared" si="26"/>
        <v>400</v>
      </c>
      <c r="DB43" s="2">
        <f t="shared" si="34"/>
        <v>1</v>
      </c>
      <c r="DC43" s="62"/>
      <c r="DD43" s="143"/>
      <c r="DE43" s="149">
        <f t="shared" si="35"/>
        <v>1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1"/>
      <c r="AL44" s="143"/>
      <c r="AM44" s="13">
        <f t="shared" si="6"/>
        <v>0</v>
      </c>
      <c r="AN44" s="61"/>
      <c r="AO44" s="143"/>
      <c r="AP44" s="13">
        <f t="shared" si="7"/>
        <v>0</v>
      </c>
      <c r="AQ44" s="61"/>
      <c r="AR44" s="143"/>
      <c r="AS44" s="13">
        <f t="shared" si="8"/>
        <v>0</v>
      </c>
      <c r="AT44" s="61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1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1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1</v>
      </c>
      <c r="G45" s="62"/>
      <c r="H45" s="143"/>
      <c r="I45" s="13">
        <f t="shared" si="0"/>
        <v>1</v>
      </c>
      <c r="J45" s="62">
        <f>5</f>
        <v>5</v>
      </c>
      <c r="K45" s="143"/>
      <c r="L45" s="13">
        <f t="shared" si="1"/>
        <v>6</v>
      </c>
      <c r="M45" s="62"/>
      <c r="N45" s="143"/>
      <c r="O45" s="13">
        <f t="shared" si="2"/>
        <v>6</v>
      </c>
      <c r="P45" s="62"/>
      <c r="Q45" s="143">
        <f>2+2</f>
        <v>4</v>
      </c>
      <c r="R45" s="30">
        <f t="shared" si="3"/>
        <v>2</v>
      </c>
      <c r="S45" s="62"/>
      <c r="T45" s="143">
        <f>2</f>
        <v>2</v>
      </c>
      <c r="U45" s="13">
        <f t="shared" si="4"/>
        <v>0</v>
      </c>
      <c r="V45" s="62"/>
      <c r="W45" s="143"/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>
        <v>1</v>
      </c>
      <c r="AF45" s="143"/>
      <c r="AG45" s="13">
        <f t="shared" si="29"/>
        <v>1</v>
      </c>
      <c r="AH45" s="62"/>
      <c r="AI45" s="143"/>
      <c r="AJ45" s="13">
        <f t="shared" si="30"/>
        <v>1</v>
      </c>
      <c r="AK45" s="61"/>
      <c r="AL45" s="143">
        <v>1</v>
      </c>
      <c r="AM45" s="13">
        <f t="shared" si="6"/>
        <v>0</v>
      </c>
      <c r="AN45" s="61"/>
      <c r="AO45" s="143"/>
      <c r="AP45" s="13">
        <f t="shared" si="7"/>
        <v>0</v>
      </c>
      <c r="AQ45" s="61"/>
      <c r="AR45" s="143"/>
      <c r="AS45" s="13">
        <f t="shared" si="8"/>
        <v>0</v>
      </c>
      <c r="AT45" s="61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>
        <v>7</v>
      </c>
      <c r="BG45" s="143"/>
      <c r="BH45" s="13">
        <f t="shared" si="13"/>
        <v>7</v>
      </c>
      <c r="BI45" s="62"/>
      <c r="BJ45" s="143">
        <f>2+3</f>
        <v>5</v>
      </c>
      <c r="BK45" s="13">
        <f t="shared" si="14"/>
        <v>2</v>
      </c>
      <c r="BL45" s="62"/>
      <c r="BM45" s="143"/>
      <c r="BN45" s="13">
        <f t="shared" si="15"/>
        <v>2</v>
      </c>
      <c r="BO45" s="62"/>
      <c r="BP45" s="143"/>
      <c r="BQ45" s="13">
        <f t="shared" si="16"/>
        <v>2</v>
      </c>
      <c r="BR45" s="62">
        <v>2</v>
      </c>
      <c r="BS45" s="143"/>
      <c r="BT45" s="13">
        <f t="shared" si="17"/>
        <v>4</v>
      </c>
      <c r="BU45" s="62"/>
      <c r="BV45" s="143"/>
      <c r="BW45" s="13">
        <f t="shared" si="18"/>
        <v>4</v>
      </c>
      <c r="BX45" s="62"/>
      <c r="BY45" s="143"/>
      <c r="BZ45" s="13">
        <f t="shared" si="19"/>
        <v>4</v>
      </c>
      <c r="CA45" s="62"/>
      <c r="CB45" s="143">
        <f>2+2</f>
        <v>4</v>
      </c>
      <c r="CC45" s="13">
        <f t="shared" si="20"/>
        <v>0</v>
      </c>
      <c r="CD45" s="62">
        <v>8</v>
      </c>
      <c r="CE45" s="143"/>
      <c r="CF45" s="13">
        <f t="shared" si="21"/>
        <v>8</v>
      </c>
      <c r="CG45" s="62"/>
      <c r="CH45" s="143"/>
      <c r="CI45" s="13">
        <f t="shared" si="31"/>
        <v>8</v>
      </c>
      <c r="CJ45" s="62"/>
      <c r="CK45" s="143">
        <f>4+3+1</f>
        <v>8</v>
      </c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23</v>
      </c>
      <c r="CW45" s="4">
        <f t="shared" si="36"/>
        <v>24</v>
      </c>
      <c r="CX45" s="6">
        <f t="shared" si="25"/>
        <v>0</v>
      </c>
      <c r="CY45" s="162">
        <v>250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>
        <v>2</v>
      </c>
      <c r="T46" s="143"/>
      <c r="U46" s="13">
        <f t="shared" si="4"/>
        <v>2</v>
      </c>
      <c r="V46" s="176"/>
      <c r="W46" s="143">
        <v>2</v>
      </c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/>
      <c r="AF46" s="143"/>
      <c r="AG46" s="13">
        <f t="shared" si="29"/>
        <v>0</v>
      </c>
      <c r="AH46" s="176"/>
      <c r="AI46" s="143"/>
      <c r="AJ46" s="13">
        <f t="shared" si="30"/>
        <v>0</v>
      </c>
      <c r="AK46" s="63"/>
      <c r="AL46" s="143"/>
      <c r="AM46" s="13">
        <f t="shared" si="6"/>
        <v>0</v>
      </c>
      <c r="AN46" s="63">
        <v>4</v>
      </c>
      <c r="AO46" s="143"/>
      <c r="AP46" s="13">
        <f t="shared" si="7"/>
        <v>4</v>
      </c>
      <c r="AQ46" s="63">
        <v>1</v>
      </c>
      <c r="AR46" s="143"/>
      <c r="AS46" s="13">
        <f t="shared" si="8"/>
        <v>5</v>
      </c>
      <c r="AT46" s="63"/>
      <c r="AU46" s="143">
        <v>3</v>
      </c>
      <c r="AV46" s="13">
        <f t="shared" si="9"/>
        <v>2</v>
      </c>
      <c r="AW46" s="176"/>
      <c r="AX46" s="143">
        <v>1</v>
      </c>
      <c r="AY46" s="13">
        <f t="shared" si="10"/>
        <v>1</v>
      </c>
      <c r="AZ46" s="176"/>
      <c r="BA46" s="143"/>
      <c r="BB46" s="13">
        <f t="shared" si="11"/>
        <v>1</v>
      </c>
      <c r="BC46" s="176"/>
      <c r="BD46" s="143"/>
      <c r="BE46" s="13">
        <f t="shared" si="12"/>
        <v>1</v>
      </c>
      <c r="BF46" s="176">
        <v>3</v>
      </c>
      <c r="BG46" s="143"/>
      <c r="BH46" s="13">
        <f t="shared" si="13"/>
        <v>4</v>
      </c>
      <c r="BI46" s="176">
        <v>1</v>
      </c>
      <c r="BJ46" s="143">
        <f>3</f>
        <v>3</v>
      </c>
      <c r="BK46" s="13">
        <f t="shared" si="14"/>
        <v>2</v>
      </c>
      <c r="BL46" s="176"/>
      <c r="BM46" s="143">
        <v>2</v>
      </c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63">
        <v>4</v>
      </c>
      <c r="CE46" s="143"/>
      <c r="CF46" s="13">
        <f t="shared" si="21"/>
        <v>4</v>
      </c>
      <c r="CG46" s="176"/>
      <c r="CH46" s="143"/>
      <c r="CI46" s="13">
        <f t="shared" si="31"/>
        <v>4</v>
      </c>
      <c r="CJ46" s="63">
        <v>1</v>
      </c>
      <c r="CK46" s="143">
        <v>4</v>
      </c>
      <c r="CL46" s="13">
        <f t="shared" si="32"/>
        <v>1</v>
      </c>
      <c r="CM46" s="176"/>
      <c r="CN46" s="143"/>
      <c r="CO46" s="13">
        <f t="shared" si="22"/>
        <v>1</v>
      </c>
      <c r="CP46" s="176"/>
      <c r="CQ46" s="143"/>
      <c r="CR46" s="13">
        <f t="shared" si="33"/>
        <v>1</v>
      </c>
      <c r="CS46" s="176"/>
      <c r="CT46" s="143"/>
      <c r="CU46" s="14">
        <f t="shared" si="23"/>
        <v>1</v>
      </c>
      <c r="CV46" s="5">
        <f t="shared" si="36"/>
        <v>16</v>
      </c>
      <c r="CW46" s="4">
        <f t="shared" si="36"/>
        <v>15</v>
      </c>
      <c r="CX46" s="6">
        <f t="shared" si="25"/>
        <v>1</v>
      </c>
      <c r="CY46" s="162">
        <v>240</v>
      </c>
      <c r="CZ46" s="171">
        <f t="shared" si="26"/>
        <v>240</v>
      </c>
      <c r="DB46" s="2">
        <f t="shared" si="34"/>
        <v>1</v>
      </c>
      <c r="DC46" s="63"/>
      <c r="DD46" s="143"/>
      <c r="DE46" s="149">
        <f t="shared" si="35"/>
        <v>1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>
        <v>9</v>
      </c>
      <c r="H47" s="143"/>
      <c r="I47" s="13">
        <f t="shared" si="0"/>
        <v>9</v>
      </c>
      <c r="J47" s="176"/>
      <c r="K47" s="143">
        <f>2+4</f>
        <v>6</v>
      </c>
      <c r="L47" s="13">
        <f t="shared" si="1"/>
        <v>3</v>
      </c>
      <c r="M47" s="176"/>
      <c r="N47" s="143"/>
      <c r="O47" s="13">
        <f t="shared" si="2"/>
        <v>3</v>
      </c>
      <c r="P47" s="176"/>
      <c r="Q47" s="143">
        <f>3</f>
        <v>3</v>
      </c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1</v>
      </c>
      <c r="Z47" s="143"/>
      <c r="AA47" s="13">
        <f t="shared" si="27"/>
        <v>1</v>
      </c>
      <c r="AB47" s="176">
        <v>4</v>
      </c>
      <c r="AC47" s="143"/>
      <c r="AD47" s="13">
        <f t="shared" si="28"/>
        <v>5</v>
      </c>
      <c r="AE47" s="176">
        <v>8</v>
      </c>
      <c r="AF47" s="143">
        <f>5</f>
        <v>5</v>
      </c>
      <c r="AG47" s="13">
        <f t="shared" si="29"/>
        <v>8</v>
      </c>
      <c r="AH47" s="176"/>
      <c r="AI47" s="143"/>
      <c r="AJ47" s="13">
        <f t="shared" si="30"/>
        <v>8</v>
      </c>
      <c r="AK47" s="63">
        <v>4</v>
      </c>
      <c r="AL47" s="143"/>
      <c r="AM47" s="13">
        <f t="shared" si="6"/>
        <v>12</v>
      </c>
      <c r="AN47" s="63">
        <v>4</v>
      </c>
      <c r="AO47" s="143">
        <f>2+2+4</f>
        <v>8</v>
      </c>
      <c r="AP47" s="13">
        <f t="shared" si="7"/>
        <v>8</v>
      </c>
      <c r="AQ47" s="63">
        <v>1</v>
      </c>
      <c r="AR47" s="143">
        <f>2+2</f>
        <v>4</v>
      </c>
      <c r="AS47" s="13">
        <f t="shared" si="8"/>
        <v>5</v>
      </c>
      <c r="AT47" s="63">
        <v>5</v>
      </c>
      <c r="AU47" s="143">
        <f>4</f>
        <v>4</v>
      </c>
      <c r="AV47" s="13">
        <f t="shared" si="9"/>
        <v>6</v>
      </c>
      <c r="AW47" s="176"/>
      <c r="AX47" s="143">
        <f>1</f>
        <v>1</v>
      </c>
      <c r="AY47" s="13">
        <f t="shared" si="10"/>
        <v>5</v>
      </c>
      <c r="AZ47" s="176"/>
      <c r="BA47" s="143">
        <v>5</v>
      </c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>
        <f>13</f>
        <v>13</v>
      </c>
      <c r="BS47" s="143"/>
      <c r="BT47" s="13">
        <f t="shared" si="17"/>
        <v>13</v>
      </c>
      <c r="BU47" s="176"/>
      <c r="BV47" s="143">
        <f>2+5</f>
        <v>7</v>
      </c>
      <c r="BW47" s="13">
        <f t="shared" si="18"/>
        <v>6</v>
      </c>
      <c r="BX47" s="176"/>
      <c r="BY47" s="143"/>
      <c r="BZ47" s="13">
        <f t="shared" si="19"/>
        <v>6</v>
      </c>
      <c r="CA47" s="176"/>
      <c r="CB47" s="143">
        <f>3+3</f>
        <v>6</v>
      </c>
      <c r="CC47" s="13">
        <f t="shared" si="20"/>
        <v>0</v>
      </c>
      <c r="CD47" s="63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63">
        <v>1</v>
      </c>
      <c r="CK47" s="143"/>
      <c r="CL47" s="13">
        <f t="shared" si="32"/>
        <v>1</v>
      </c>
      <c r="CM47" s="176"/>
      <c r="CN47" s="143">
        <v>1</v>
      </c>
      <c r="CO47" s="13">
        <f t="shared" si="22"/>
        <v>0</v>
      </c>
      <c r="CP47" s="176">
        <v>5</v>
      </c>
      <c r="CQ47" s="143"/>
      <c r="CR47" s="13">
        <f t="shared" si="33"/>
        <v>5</v>
      </c>
      <c r="CS47" s="176"/>
      <c r="CT47" s="143"/>
      <c r="CU47" s="14">
        <f t="shared" si="23"/>
        <v>5</v>
      </c>
      <c r="CV47" s="5">
        <f t="shared" si="36"/>
        <v>55</v>
      </c>
      <c r="CW47" s="4">
        <f t="shared" si="36"/>
        <v>50</v>
      </c>
      <c r="CX47" s="6">
        <f t="shared" si="25"/>
        <v>5</v>
      </c>
      <c r="CY47" s="162">
        <v>180</v>
      </c>
      <c r="CZ47" s="171">
        <f t="shared" si="26"/>
        <v>900</v>
      </c>
      <c r="DB47" s="2">
        <f t="shared" si="34"/>
        <v>5</v>
      </c>
      <c r="DC47" s="63"/>
      <c r="DD47" s="143"/>
      <c r="DE47" s="149">
        <f t="shared" si="35"/>
        <v>5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2.300000000000002</v>
      </c>
      <c r="G48" s="62"/>
      <c r="H48" s="143"/>
      <c r="I48" s="13">
        <f t="shared" si="0"/>
        <v>2.300000000000002</v>
      </c>
      <c r="J48" s="62">
        <v>4</v>
      </c>
      <c r="K48" s="143">
        <f>0.5</f>
        <v>0.5</v>
      </c>
      <c r="L48" s="13">
        <f t="shared" si="1"/>
        <v>5.8000000000000025</v>
      </c>
      <c r="M48" s="62"/>
      <c r="N48" s="143"/>
      <c r="O48" s="13">
        <f t="shared" si="2"/>
        <v>5.8000000000000025</v>
      </c>
      <c r="P48" s="62"/>
      <c r="Q48" s="143">
        <f>0.5+0.7</f>
        <v>1.2</v>
      </c>
      <c r="R48" s="30">
        <f t="shared" si="3"/>
        <v>4.6000000000000023</v>
      </c>
      <c r="S48" s="62"/>
      <c r="T48" s="143">
        <f>0.9+0.5+0.4</f>
        <v>1.7999999999999998</v>
      </c>
      <c r="U48" s="13">
        <f t="shared" si="4"/>
        <v>2.8000000000000025</v>
      </c>
      <c r="V48" s="62"/>
      <c r="W48" s="143"/>
      <c r="X48" s="13">
        <f t="shared" si="5"/>
        <v>2.8000000000000025</v>
      </c>
      <c r="Y48" s="62">
        <v>4</v>
      </c>
      <c r="Z48" s="143">
        <f>1.35</f>
        <v>1.35</v>
      </c>
      <c r="AA48" s="13">
        <f t="shared" si="27"/>
        <v>5.4500000000000028</v>
      </c>
      <c r="AB48" s="62"/>
      <c r="AC48" s="143">
        <f>0.8+0.1</f>
        <v>0.9</v>
      </c>
      <c r="AD48" s="13">
        <f t="shared" si="28"/>
        <v>4.5500000000000025</v>
      </c>
      <c r="AE48" s="62"/>
      <c r="AF48" s="143">
        <f>0.8</f>
        <v>0.8</v>
      </c>
      <c r="AG48" s="13">
        <f t="shared" si="29"/>
        <v>3.7500000000000027</v>
      </c>
      <c r="AH48" s="62"/>
      <c r="AI48" s="143"/>
      <c r="AJ48" s="13">
        <f t="shared" si="30"/>
        <v>3.7500000000000027</v>
      </c>
      <c r="AK48" s="61"/>
      <c r="AL48" s="143"/>
      <c r="AM48" s="13">
        <f t="shared" si="6"/>
        <v>3.7500000000000027</v>
      </c>
      <c r="AN48" s="61">
        <v>4</v>
      </c>
      <c r="AO48" s="143">
        <f>1+0.8</f>
        <v>1.8</v>
      </c>
      <c r="AP48" s="13">
        <f t="shared" si="7"/>
        <v>5.9500000000000028</v>
      </c>
      <c r="AQ48" s="61"/>
      <c r="AR48" s="143">
        <f>0.5</f>
        <v>0.5</v>
      </c>
      <c r="AS48" s="13">
        <f t="shared" si="8"/>
        <v>5.4500000000000028</v>
      </c>
      <c r="AT48" s="61"/>
      <c r="AU48" s="143">
        <f>0.4+1.2+1</f>
        <v>2.6</v>
      </c>
      <c r="AV48" s="13">
        <f t="shared" si="9"/>
        <v>2.8500000000000028</v>
      </c>
      <c r="AW48" s="62"/>
      <c r="AX48" s="143"/>
      <c r="AY48" s="13">
        <f t="shared" si="10"/>
        <v>2.8500000000000028</v>
      </c>
      <c r="AZ48" s="62">
        <v>4</v>
      </c>
      <c r="BA48" s="143">
        <f>0.6+1.2</f>
        <v>1.7999999999999998</v>
      </c>
      <c r="BB48" s="13">
        <f t="shared" si="11"/>
        <v>5.0500000000000034</v>
      </c>
      <c r="BC48" s="62"/>
      <c r="BD48" s="143"/>
      <c r="BE48" s="13">
        <f t="shared" si="12"/>
        <v>5.0500000000000034</v>
      </c>
      <c r="BF48" s="62">
        <v>4</v>
      </c>
      <c r="BG48" s="143">
        <f>0.5+0.7+0.3+1</f>
        <v>2.5</v>
      </c>
      <c r="BH48" s="13">
        <f t="shared" si="13"/>
        <v>6.5500000000000043</v>
      </c>
      <c r="BI48" s="62"/>
      <c r="BJ48" s="143">
        <f>1.1+0.4+1+0.5</f>
        <v>3</v>
      </c>
      <c r="BK48" s="13">
        <f t="shared" si="14"/>
        <v>3.5500000000000043</v>
      </c>
      <c r="BL48" s="62"/>
      <c r="BM48" s="143"/>
      <c r="BN48" s="13">
        <f t="shared" si="15"/>
        <v>3.5500000000000043</v>
      </c>
      <c r="BO48" s="62">
        <v>4</v>
      </c>
      <c r="BP48" s="143">
        <f>0.3+1</f>
        <v>1.3</v>
      </c>
      <c r="BQ48" s="13">
        <f t="shared" si="16"/>
        <v>6.2500000000000044</v>
      </c>
      <c r="BR48" s="62"/>
      <c r="BS48" s="143">
        <f>0.8+0.1+0.1</f>
        <v>1</v>
      </c>
      <c r="BT48" s="13">
        <f t="shared" si="17"/>
        <v>5.2500000000000044</v>
      </c>
      <c r="BU48" s="62"/>
      <c r="BV48" s="143">
        <f>0.9+1</f>
        <v>1.9</v>
      </c>
      <c r="BW48" s="13">
        <f t="shared" si="18"/>
        <v>3.3500000000000045</v>
      </c>
      <c r="BX48" s="62"/>
      <c r="BY48" s="143"/>
      <c r="BZ48" s="13">
        <f t="shared" si="19"/>
        <v>3.3500000000000045</v>
      </c>
      <c r="CA48" s="62">
        <v>4</v>
      </c>
      <c r="CB48" s="143">
        <f>0.3</f>
        <v>0.3</v>
      </c>
      <c r="CC48" s="13">
        <f t="shared" si="20"/>
        <v>7.0500000000000052</v>
      </c>
      <c r="CD48" s="61">
        <v>4</v>
      </c>
      <c r="CE48" s="143">
        <f>1+1.7+1.7</f>
        <v>4.4000000000000004</v>
      </c>
      <c r="CF48" s="13">
        <f t="shared" si="21"/>
        <v>6.6500000000000039</v>
      </c>
      <c r="CG48" s="62"/>
      <c r="CH48" s="143">
        <f>0.8</f>
        <v>0.8</v>
      </c>
      <c r="CI48" s="13">
        <f t="shared" si="31"/>
        <v>5.8500000000000041</v>
      </c>
      <c r="CJ48" s="61">
        <v>4</v>
      </c>
      <c r="CK48" s="143">
        <f>1+0.5+0.5+0.1</f>
        <v>2.1</v>
      </c>
      <c r="CL48" s="13">
        <f t="shared" si="32"/>
        <v>7.7500000000000053</v>
      </c>
      <c r="CM48" s="62"/>
      <c r="CN48" s="143">
        <f>0.1+0.1</f>
        <v>0.2</v>
      </c>
      <c r="CO48" s="13">
        <f t="shared" si="22"/>
        <v>7.5500000000000052</v>
      </c>
      <c r="CP48" s="62"/>
      <c r="CQ48" s="143">
        <f>0.5+0.82</f>
        <v>1.3199999999999998</v>
      </c>
      <c r="CR48" s="13">
        <f t="shared" si="33"/>
        <v>6.2300000000000058</v>
      </c>
      <c r="CS48" s="62"/>
      <c r="CT48" s="143"/>
      <c r="CU48" s="14">
        <f t="shared" si="23"/>
        <v>6.2300000000000058</v>
      </c>
      <c r="CV48" s="5">
        <f t="shared" si="36"/>
        <v>36</v>
      </c>
      <c r="CW48" s="4">
        <f t="shared" si="36"/>
        <v>32.07</v>
      </c>
      <c r="CX48" s="6">
        <f t="shared" si="25"/>
        <v>6.2300000000000058</v>
      </c>
      <c r="CY48" s="162">
        <v>725</v>
      </c>
      <c r="CZ48" s="171">
        <f t="shared" si="26"/>
        <v>4516.7500000000045</v>
      </c>
      <c r="DB48" s="2">
        <f t="shared" si="34"/>
        <v>6.2300000000000058</v>
      </c>
      <c r="DC48" s="61"/>
      <c r="DD48" s="143"/>
      <c r="DE48" s="149">
        <f t="shared" si="35"/>
        <v>6.2300000000000058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6</v>
      </c>
      <c r="G49" s="62">
        <v>10</v>
      </c>
      <c r="H49" s="143">
        <v>2</v>
      </c>
      <c r="I49" s="13">
        <f t="shared" si="0"/>
        <v>14</v>
      </c>
      <c r="J49" s="62"/>
      <c r="K49" s="143">
        <v>3</v>
      </c>
      <c r="L49" s="13">
        <f t="shared" si="1"/>
        <v>11</v>
      </c>
      <c r="M49" s="62"/>
      <c r="N49" s="143"/>
      <c r="O49" s="13">
        <f t="shared" si="2"/>
        <v>11</v>
      </c>
      <c r="P49" s="62"/>
      <c r="Q49" s="143">
        <v>2</v>
      </c>
      <c r="R49" s="30">
        <f t="shared" si="3"/>
        <v>9</v>
      </c>
      <c r="S49" s="62">
        <v>10</v>
      </c>
      <c r="T49" s="143">
        <f>6+2</f>
        <v>8</v>
      </c>
      <c r="U49" s="13">
        <f t="shared" si="4"/>
        <v>11</v>
      </c>
      <c r="V49" s="62"/>
      <c r="W49" s="143"/>
      <c r="X49" s="13">
        <f t="shared" si="5"/>
        <v>11</v>
      </c>
      <c r="Y49" s="62"/>
      <c r="Z49" s="143">
        <v>4</v>
      </c>
      <c r="AA49" s="13">
        <f t="shared" si="27"/>
        <v>7</v>
      </c>
      <c r="AB49" s="62">
        <v>10</v>
      </c>
      <c r="AC49" s="143">
        <v>5</v>
      </c>
      <c r="AD49" s="13">
        <f t="shared" si="28"/>
        <v>12</v>
      </c>
      <c r="AE49" s="62">
        <v>10</v>
      </c>
      <c r="AF49" s="143">
        <f>-1+4</f>
        <v>3</v>
      </c>
      <c r="AG49" s="13">
        <f t="shared" si="29"/>
        <v>19</v>
      </c>
      <c r="AH49" s="62"/>
      <c r="AI49" s="143"/>
      <c r="AJ49" s="13">
        <f t="shared" si="30"/>
        <v>19</v>
      </c>
      <c r="AK49" s="61"/>
      <c r="AL49" s="143">
        <v>4</v>
      </c>
      <c r="AM49" s="13">
        <f t="shared" si="6"/>
        <v>15</v>
      </c>
      <c r="AN49" s="61">
        <v>10</v>
      </c>
      <c r="AO49" s="143">
        <f>5</f>
        <v>5</v>
      </c>
      <c r="AP49" s="13">
        <f t="shared" si="7"/>
        <v>20</v>
      </c>
      <c r="AQ49" s="61"/>
      <c r="AR49" s="143"/>
      <c r="AS49" s="13">
        <f t="shared" si="8"/>
        <v>20</v>
      </c>
      <c r="AT49" s="61"/>
      <c r="AU49" s="143">
        <v>5</v>
      </c>
      <c r="AV49" s="13">
        <f t="shared" si="9"/>
        <v>15</v>
      </c>
      <c r="AW49" s="62"/>
      <c r="AX49" s="143">
        <v>4</v>
      </c>
      <c r="AY49" s="13">
        <f t="shared" si="10"/>
        <v>11</v>
      </c>
      <c r="AZ49" s="62"/>
      <c r="BA49" s="143">
        <v>4</v>
      </c>
      <c r="BB49" s="13">
        <f t="shared" si="11"/>
        <v>7</v>
      </c>
      <c r="BC49" s="62"/>
      <c r="BD49" s="143"/>
      <c r="BE49" s="13">
        <f t="shared" si="12"/>
        <v>7</v>
      </c>
      <c r="BF49" s="62">
        <v>10</v>
      </c>
      <c r="BG49" s="143">
        <v>3</v>
      </c>
      <c r="BH49" s="13">
        <f t="shared" si="13"/>
        <v>14</v>
      </c>
      <c r="BI49" s="62"/>
      <c r="BJ49" s="143">
        <v>6</v>
      </c>
      <c r="BK49" s="13">
        <f t="shared" si="14"/>
        <v>8</v>
      </c>
      <c r="BL49" s="62"/>
      <c r="BM49" s="143"/>
      <c r="BN49" s="13">
        <f t="shared" si="15"/>
        <v>8</v>
      </c>
      <c r="BO49" s="62">
        <v>10</v>
      </c>
      <c r="BP49" s="143">
        <v>5</v>
      </c>
      <c r="BQ49" s="13">
        <f t="shared" si="16"/>
        <v>13</v>
      </c>
      <c r="BR49" s="62"/>
      <c r="BS49" s="143">
        <v>4</v>
      </c>
      <c r="BT49" s="13">
        <f t="shared" si="17"/>
        <v>9</v>
      </c>
      <c r="BU49" s="62"/>
      <c r="BV49" s="143">
        <v>4</v>
      </c>
      <c r="BW49" s="13">
        <f t="shared" si="18"/>
        <v>5</v>
      </c>
      <c r="BX49" s="62"/>
      <c r="BY49" s="143"/>
      <c r="BZ49" s="13">
        <f t="shared" si="19"/>
        <v>5</v>
      </c>
      <c r="CA49" s="62">
        <v>10</v>
      </c>
      <c r="CB49" s="143"/>
      <c r="CC49" s="13">
        <f t="shared" si="20"/>
        <v>15</v>
      </c>
      <c r="CD49" s="61"/>
      <c r="CE49" s="143">
        <v>5</v>
      </c>
      <c r="CF49" s="13">
        <f t="shared" si="21"/>
        <v>10</v>
      </c>
      <c r="CG49" s="62"/>
      <c r="CH49" s="143"/>
      <c r="CI49" s="13">
        <f t="shared" si="31"/>
        <v>10</v>
      </c>
      <c r="CJ49" s="61">
        <v>10</v>
      </c>
      <c r="CK49" s="143">
        <v>4</v>
      </c>
      <c r="CL49" s="13">
        <f t="shared" si="32"/>
        <v>16</v>
      </c>
      <c r="CM49" s="62"/>
      <c r="CN49" s="143">
        <v>2</v>
      </c>
      <c r="CO49" s="13">
        <f t="shared" si="22"/>
        <v>14</v>
      </c>
      <c r="CP49" s="62"/>
      <c r="CQ49" s="143">
        <v>4</v>
      </c>
      <c r="CR49" s="13">
        <f t="shared" si="33"/>
        <v>10</v>
      </c>
      <c r="CS49" s="62"/>
      <c r="CT49" s="143"/>
      <c r="CU49" s="14">
        <f t="shared" si="23"/>
        <v>10</v>
      </c>
      <c r="CV49" s="5">
        <f t="shared" si="36"/>
        <v>90</v>
      </c>
      <c r="CW49" s="4">
        <f t="shared" si="36"/>
        <v>86</v>
      </c>
      <c r="CX49" s="6">
        <f t="shared" si="25"/>
        <v>10</v>
      </c>
      <c r="CY49" s="162">
        <v>880</v>
      </c>
      <c r="CZ49" s="171">
        <f t="shared" si="26"/>
        <v>8800</v>
      </c>
      <c r="DB49" s="2">
        <f t="shared" si="34"/>
        <v>10</v>
      </c>
      <c r="DC49" s="61"/>
      <c r="DD49" s="143"/>
      <c r="DE49" s="149">
        <f t="shared" si="35"/>
        <v>10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1"/>
      <c r="AL50" s="143"/>
      <c r="AM50" s="13">
        <f t="shared" si="6"/>
        <v>0</v>
      </c>
      <c r="AN50" s="61"/>
      <c r="AO50" s="143"/>
      <c r="AP50" s="13">
        <f t="shared" si="7"/>
        <v>0</v>
      </c>
      <c r="AQ50" s="61"/>
      <c r="AR50" s="143"/>
      <c r="AS50" s="13">
        <f t="shared" si="8"/>
        <v>0</v>
      </c>
      <c r="AT50" s="61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1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1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1"/>
      <c r="AL51" s="143"/>
      <c r="AM51" s="13">
        <f t="shared" si="6"/>
        <v>0</v>
      </c>
      <c r="AN51" s="61"/>
      <c r="AO51" s="143"/>
      <c r="AP51" s="13">
        <f t="shared" si="7"/>
        <v>0</v>
      </c>
      <c r="AQ51" s="61"/>
      <c r="AR51" s="143"/>
      <c r="AS51" s="13">
        <f t="shared" si="8"/>
        <v>0</v>
      </c>
      <c r="AT51" s="61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1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1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1"/>
      <c r="AL52" s="143"/>
      <c r="AM52" s="13">
        <f t="shared" si="6"/>
        <v>0</v>
      </c>
      <c r="AN52" s="61"/>
      <c r="AO52" s="143"/>
      <c r="AP52" s="13">
        <f t="shared" si="7"/>
        <v>0</v>
      </c>
      <c r="AQ52" s="61"/>
      <c r="AR52" s="143"/>
      <c r="AS52" s="13">
        <f t="shared" si="8"/>
        <v>0</v>
      </c>
      <c r="AT52" s="61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1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1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6</v>
      </c>
      <c r="G53" s="62">
        <f>-3+25</f>
        <v>22</v>
      </c>
      <c r="H53" s="143">
        <v>6</v>
      </c>
      <c r="I53" s="13">
        <f t="shared" si="0"/>
        <v>22</v>
      </c>
      <c r="J53" s="62">
        <v>8</v>
      </c>
      <c r="K53" s="143">
        <v>10</v>
      </c>
      <c r="L53" s="13">
        <f t="shared" si="1"/>
        <v>20</v>
      </c>
      <c r="M53" s="62"/>
      <c r="N53" s="143"/>
      <c r="O53" s="13">
        <f t="shared" si="2"/>
        <v>20</v>
      </c>
      <c r="P53" s="62">
        <v>9</v>
      </c>
      <c r="Q53" s="143">
        <v>9</v>
      </c>
      <c r="R53" s="13">
        <f t="shared" si="3"/>
        <v>20</v>
      </c>
      <c r="S53" s="62">
        <v>17</v>
      </c>
      <c r="T53" s="143">
        <v>17</v>
      </c>
      <c r="U53" s="13">
        <f t="shared" si="4"/>
        <v>20</v>
      </c>
      <c r="V53" s="62"/>
      <c r="W53" s="143"/>
      <c r="X53" s="13">
        <f t="shared" si="5"/>
        <v>20</v>
      </c>
      <c r="Y53" s="62">
        <v>14</v>
      </c>
      <c r="Z53" s="143">
        <f>14</f>
        <v>14</v>
      </c>
      <c r="AA53" s="13">
        <f t="shared" si="27"/>
        <v>20</v>
      </c>
      <c r="AB53" s="62">
        <v>6</v>
      </c>
      <c r="AC53" s="143">
        <f>6</f>
        <v>6</v>
      </c>
      <c r="AD53" s="13">
        <f t="shared" si="28"/>
        <v>20</v>
      </c>
      <c r="AE53" s="62">
        <f>30-1</f>
        <v>29</v>
      </c>
      <c r="AF53" s="143">
        <f>20</f>
        <v>20</v>
      </c>
      <c r="AG53" s="13">
        <f t="shared" si="29"/>
        <v>29</v>
      </c>
      <c r="AH53" s="62"/>
      <c r="AI53" s="143"/>
      <c r="AJ53" s="13">
        <f t="shared" si="30"/>
        <v>29</v>
      </c>
      <c r="AK53" s="61">
        <v>25</v>
      </c>
      <c r="AL53" s="143">
        <f>10</f>
        <v>10</v>
      </c>
      <c r="AM53" s="13">
        <f t="shared" si="6"/>
        <v>44</v>
      </c>
      <c r="AN53" s="61">
        <v>20</v>
      </c>
      <c r="AO53" s="143">
        <f>18</f>
        <v>18</v>
      </c>
      <c r="AP53" s="13">
        <f t="shared" si="7"/>
        <v>46</v>
      </c>
      <c r="AQ53" s="61"/>
      <c r="AR53" s="143"/>
      <c r="AS53" s="13">
        <f t="shared" si="8"/>
        <v>46</v>
      </c>
      <c r="AT53" s="61"/>
      <c r="AU53" s="143">
        <v>14</v>
      </c>
      <c r="AV53" s="13">
        <f t="shared" si="9"/>
        <v>32</v>
      </c>
      <c r="AW53" s="62"/>
      <c r="AX53" s="143">
        <v>7</v>
      </c>
      <c r="AY53" s="13">
        <f t="shared" si="10"/>
        <v>25</v>
      </c>
      <c r="AZ53" s="62">
        <v>14</v>
      </c>
      <c r="BA53" s="143">
        <f>19</f>
        <v>19</v>
      </c>
      <c r="BB53" s="13">
        <f t="shared" si="11"/>
        <v>20</v>
      </c>
      <c r="BC53" s="62"/>
      <c r="BD53" s="143"/>
      <c r="BE53" s="13">
        <f t="shared" si="12"/>
        <v>20</v>
      </c>
      <c r="BF53" s="62">
        <v>25</v>
      </c>
      <c r="BG53" s="143">
        <v>9</v>
      </c>
      <c r="BH53" s="13">
        <f t="shared" si="13"/>
        <v>36</v>
      </c>
      <c r="BI53" s="62"/>
      <c r="BJ53" s="143">
        <f>16</f>
        <v>16</v>
      </c>
      <c r="BK53" s="13">
        <f t="shared" si="14"/>
        <v>20</v>
      </c>
      <c r="BL53" s="62"/>
      <c r="BM53" s="143"/>
      <c r="BN53" s="13">
        <f t="shared" si="15"/>
        <v>20</v>
      </c>
      <c r="BO53" s="62">
        <v>9</v>
      </c>
      <c r="BP53" s="143">
        <v>9</v>
      </c>
      <c r="BQ53" s="13">
        <f t="shared" si="16"/>
        <v>20</v>
      </c>
      <c r="BR53" s="62">
        <v>17</v>
      </c>
      <c r="BS53" s="143">
        <v>12</v>
      </c>
      <c r="BT53" s="13">
        <f t="shared" si="17"/>
        <v>25</v>
      </c>
      <c r="BU53" s="62">
        <f>-1+21</f>
        <v>20</v>
      </c>
      <c r="BV53" s="143">
        <f>25</f>
        <v>25</v>
      </c>
      <c r="BW53" s="13">
        <f t="shared" si="18"/>
        <v>20</v>
      </c>
      <c r="BX53" s="62"/>
      <c r="BY53" s="143"/>
      <c r="BZ53" s="13">
        <f t="shared" si="19"/>
        <v>20</v>
      </c>
      <c r="CA53" s="62">
        <v>14</v>
      </c>
      <c r="CB53" s="143">
        <v>9</v>
      </c>
      <c r="CC53" s="13">
        <f t="shared" si="20"/>
        <v>25</v>
      </c>
      <c r="CD53" s="61">
        <v>15</v>
      </c>
      <c r="CE53" s="143">
        <v>20</v>
      </c>
      <c r="CF53" s="13">
        <f t="shared" si="21"/>
        <v>20</v>
      </c>
      <c r="CG53" s="62"/>
      <c r="CH53" s="143"/>
      <c r="CI53" s="13">
        <f>CF53+CG53-CH53</f>
        <v>20</v>
      </c>
      <c r="CJ53" s="61">
        <v>20</v>
      </c>
      <c r="CK53" s="143">
        <v>15</v>
      </c>
      <c r="CL53" s="13">
        <f>CI53+CJ53-CK53</f>
        <v>25</v>
      </c>
      <c r="CM53" s="62">
        <v>5</v>
      </c>
      <c r="CN53" s="143">
        <v>10</v>
      </c>
      <c r="CO53" s="13">
        <f t="shared" si="22"/>
        <v>20</v>
      </c>
      <c r="CP53" s="62">
        <v>8</v>
      </c>
      <c r="CQ53" s="143">
        <v>18</v>
      </c>
      <c r="CR53" s="13">
        <f t="shared" si="33"/>
        <v>10</v>
      </c>
      <c r="CS53" s="62"/>
      <c r="CT53" s="143"/>
      <c r="CU53" s="14">
        <f t="shared" si="23"/>
        <v>10</v>
      </c>
      <c r="CV53" s="5">
        <f t="shared" si="36"/>
        <v>297</v>
      </c>
      <c r="CW53" s="4">
        <f t="shared" si="36"/>
        <v>293</v>
      </c>
      <c r="CX53" s="6">
        <f t="shared" si="25"/>
        <v>10</v>
      </c>
      <c r="CY53" s="162">
        <v>120</v>
      </c>
      <c r="CZ53" s="171">
        <f t="shared" si="26"/>
        <v>1200</v>
      </c>
      <c r="DB53" s="2">
        <f t="shared" si="34"/>
        <v>10</v>
      </c>
      <c r="DC53" s="61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1"/>
      <c r="AL54" s="143"/>
      <c r="AM54" s="13">
        <f t="shared" si="6"/>
        <v>0</v>
      </c>
      <c r="AN54" s="61"/>
      <c r="AO54" s="143"/>
      <c r="AP54" s="13">
        <f t="shared" si="7"/>
        <v>0</v>
      </c>
      <c r="AQ54" s="61"/>
      <c r="AR54" s="143"/>
      <c r="AS54" s="13">
        <f t="shared" si="8"/>
        <v>0</v>
      </c>
      <c r="AT54" s="61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1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1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5</v>
      </c>
      <c r="G55" s="62">
        <v>10</v>
      </c>
      <c r="H55" s="143"/>
      <c r="I55" s="13">
        <f t="shared" si="0"/>
        <v>15</v>
      </c>
      <c r="J55" s="62"/>
      <c r="K55" s="143"/>
      <c r="L55" s="13">
        <f t="shared" si="1"/>
        <v>15</v>
      </c>
      <c r="M55" s="62"/>
      <c r="N55" s="143"/>
      <c r="O55" s="13">
        <f t="shared" si="2"/>
        <v>15</v>
      </c>
      <c r="P55" s="62"/>
      <c r="Q55" s="143"/>
      <c r="R55" s="13">
        <f t="shared" si="3"/>
        <v>15</v>
      </c>
      <c r="S55" s="62"/>
      <c r="T55" s="143">
        <v>7</v>
      </c>
      <c r="U55" s="13">
        <f t="shared" si="4"/>
        <v>8</v>
      </c>
      <c r="V55" s="62"/>
      <c r="W55" s="143"/>
      <c r="X55" s="13">
        <f t="shared" si="5"/>
        <v>8</v>
      </c>
      <c r="Y55" s="62"/>
      <c r="Z55" s="143"/>
      <c r="AA55" s="13">
        <f t="shared" si="27"/>
        <v>8</v>
      </c>
      <c r="AB55" s="62">
        <v>10</v>
      </c>
      <c r="AC55" s="143">
        <v>4</v>
      </c>
      <c r="AD55" s="13">
        <f t="shared" si="28"/>
        <v>14</v>
      </c>
      <c r="AE55" s="62">
        <v>10</v>
      </c>
      <c r="AF55" s="143"/>
      <c r="AG55" s="13">
        <f t="shared" si="29"/>
        <v>24</v>
      </c>
      <c r="AH55" s="62"/>
      <c r="AI55" s="143"/>
      <c r="AJ55" s="13">
        <f t="shared" si="30"/>
        <v>24</v>
      </c>
      <c r="AK55" s="61"/>
      <c r="AL55" s="143">
        <f>8</f>
        <v>8</v>
      </c>
      <c r="AM55" s="13">
        <f t="shared" si="6"/>
        <v>16</v>
      </c>
      <c r="AN55" s="61"/>
      <c r="AO55" s="143"/>
      <c r="AP55" s="13">
        <f t="shared" si="7"/>
        <v>16</v>
      </c>
      <c r="AQ55" s="61"/>
      <c r="AR55" s="143"/>
      <c r="AS55" s="13">
        <f t="shared" si="8"/>
        <v>16</v>
      </c>
      <c r="AT55" s="61"/>
      <c r="AU55" s="143">
        <v>7</v>
      </c>
      <c r="AV55" s="13">
        <f t="shared" si="9"/>
        <v>9</v>
      </c>
      <c r="AW55" s="62"/>
      <c r="AX55" s="143"/>
      <c r="AY55" s="13">
        <f t="shared" si="10"/>
        <v>9</v>
      </c>
      <c r="AZ55" s="62"/>
      <c r="BA55" s="143">
        <v>6</v>
      </c>
      <c r="BB55" s="13">
        <f t="shared" si="11"/>
        <v>3</v>
      </c>
      <c r="BC55" s="62"/>
      <c r="BD55" s="143"/>
      <c r="BE55" s="13">
        <f t="shared" si="12"/>
        <v>3</v>
      </c>
      <c r="BF55" s="62">
        <v>10</v>
      </c>
      <c r="BG55" s="143"/>
      <c r="BH55" s="13">
        <f t="shared" si="13"/>
        <v>13</v>
      </c>
      <c r="BI55" s="62"/>
      <c r="BJ55" s="143"/>
      <c r="BK55" s="13">
        <f t="shared" si="14"/>
        <v>13</v>
      </c>
      <c r="BL55" s="62"/>
      <c r="BM55" s="143"/>
      <c r="BN55" s="13">
        <f t="shared" si="15"/>
        <v>13</v>
      </c>
      <c r="BO55" s="62"/>
      <c r="BP55" s="143"/>
      <c r="BQ55" s="13">
        <f t="shared" si="16"/>
        <v>13</v>
      </c>
      <c r="BR55" s="62">
        <v>10</v>
      </c>
      <c r="BS55" s="143">
        <v>7</v>
      </c>
      <c r="BT55" s="13">
        <f t="shared" si="17"/>
        <v>16</v>
      </c>
      <c r="BU55" s="62"/>
      <c r="BV55" s="143"/>
      <c r="BW55" s="13">
        <f t="shared" si="18"/>
        <v>16</v>
      </c>
      <c r="BX55" s="62"/>
      <c r="BY55" s="143"/>
      <c r="BZ55" s="13">
        <f t="shared" si="19"/>
        <v>16</v>
      </c>
      <c r="CA55" s="62"/>
      <c r="CB55" s="143"/>
      <c r="CC55" s="13">
        <f t="shared" si="20"/>
        <v>16</v>
      </c>
      <c r="CD55" s="61"/>
      <c r="CE55" s="143"/>
      <c r="CF55" s="13">
        <f t="shared" si="21"/>
        <v>16</v>
      </c>
      <c r="CG55" s="62"/>
      <c r="CH55" s="143"/>
      <c r="CI55" s="13">
        <f t="shared" si="31"/>
        <v>16</v>
      </c>
      <c r="CJ55" s="61"/>
      <c r="CK55" s="143"/>
      <c r="CL55" s="13">
        <f t="shared" si="32"/>
        <v>16</v>
      </c>
      <c r="CM55" s="62"/>
      <c r="CN55" s="143"/>
      <c r="CO55" s="13">
        <f t="shared" si="22"/>
        <v>16</v>
      </c>
      <c r="CP55" s="62"/>
      <c r="CQ55" s="143"/>
      <c r="CR55" s="13">
        <f t="shared" si="33"/>
        <v>16</v>
      </c>
      <c r="CS55" s="62"/>
      <c r="CT55" s="143"/>
      <c r="CU55" s="14">
        <f t="shared" si="23"/>
        <v>16</v>
      </c>
      <c r="CV55" s="5">
        <f t="shared" si="36"/>
        <v>50</v>
      </c>
      <c r="CW55" s="4">
        <f t="shared" si="36"/>
        <v>39</v>
      </c>
      <c r="CX55" s="6">
        <f t="shared" si="25"/>
        <v>16</v>
      </c>
      <c r="CY55" s="162">
        <v>95</v>
      </c>
      <c r="CZ55" s="171">
        <f t="shared" si="26"/>
        <v>1520</v>
      </c>
      <c r="DB55" s="2">
        <f t="shared" si="34"/>
        <v>16</v>
      </c>
      <c r="DC55" s="61"/>
      <c r="DD55" s="143"/>
      <c r="DE55" s="149">
        <f t="shared" si="35"/>
        <v>16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>
        <v>1</v>
      </c>
      <c r="AF56" s="143"/>
      <c r="AG56" s="13">
        <f t="shared" si="29"/>
        <v>1</v>
      </c>
      <c r="AH56" s="62"/>
      <c r="AI56" s="143"/>
      <c r="AJ56" s="13">
        <f t="shared" si="30"/>
        <v>1</v>
      </c>
      <c r="AK56" s="61"/>
      <c r="AL56" s="143"/>
      <c r="AM56" s="13">
        <f t="shared" si="6"/>
        <v>1</v>
      </c>
      <c r="AN56" s="61">
        <v>1</v>
      </c>
      <c r="AO56" s="143">
        <f>1</f>
        <v>1</v>
      </c>
      <c r="AP56" s="13">
        <f t="shared" si="7"/>
        <v>1</v>
      </c>
      <c r="AQ56" s="61"/>
      <c r="AR56" s="143"/>
      <c r="AS56" s="13">
        <f t="shared" si="8"/>
        <v>1</v>
      </c>
      <c r="AT56" s="61"/>
      <c r="AU56" s="143"/>
      <c r="AV56" s="13">
        <f t="shared" si="9"/>
        <v>1</v>
      </c>
      <c r="AW56" s="62"/>
      <c r="AX56" s="143"/>
      <c r="AY56" s="13">
        <f t="shared" si="10"/>
        <v>1</v>
      </c>
      <c r="AZ56" s="62"/>
      <c r="BA56" s="143">
        <v>1</v>
      </c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>
        <v>1</v>
      </c>
      <c r="BP56" s="143"/>
      <c r="BQ56" s="13">
        <f t="shared" si="16"/>
        <v>1</v>
      </c>
      <c r="BR56" s="62"/>
      <c r="BS56" s="143">
        <v>1</v>
      </c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1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1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3</v>
      </c>
      <c r="CW56" s="4">
        <f t="shared" si="36"/>
        <v>3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1"/>
      <c r="AL57" s="143"/>
      <c r="AM57" s="13">
        <f t="shared" si="6"/>
        <v>0</v>
      </c>
      <c r="AN57" s="61"/>
      <c r="AO57" s="143"/>
      <c r="AP57" s="13">
        <f t="shared" si="7"/>
        <v>0</v>
      </c>
      <c r="AQ57" s="61"/>
      <c r="AR57" s="143"/>
      <c r="AS57" s="13">
        <f t="shared" si="8"/>
        <v>0</v>
      </c>
      <c r="AT57" s="61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9.7000000000000028</v>
      </c>
      <c r="G58" s="62"/>
      <c r="H58" s="143"/>
      <c r="I58" s="13">
        <f t="shared" si="0"/>
        <v>9.7000000000000028</v>
      </c>
      <c r="J58" s="62"/>
      <c r="K58" s="143"/>
      <c r="L58" s="13">
        <f t="shared" si="1"/>
        <v>9.7000000000000028</v>
      </c>
      <c r="M58" s="62"/>
      <c r="N58" s="143"/>
      <c r="O58" s="13">
        <f t="shared" si="2"/>
        <v>9.7000000000000028</v>
      </c>
      <c r="P58" s="62"/>
      <c r="Q58" s="143">
        <f>1.2+1</f>
        <v>2.2000000000000002</v>
      </c>
      <c r="R58" s="13">
        <f t="shared" si="3"/>
        <v>7.5000000000000027</v>
      </c>
      <c r="S58" s="62"/>
      <c r="T58" s="143"/>
      <c r="U58" s="13">
        <f t="shared" si="4"/>
        <v>7.5000000000000027</v>
      </c>
      <c r="V58" s="62"/>
      <c r="W58" s="143"/>
      <c r="X58" s="13">
        <f t="shared" si="5"/>
        <v>7.5000000000000027</v>
      </c>
      <c r="Y58" s="62">
        <v>10</v>
      </c>
      <c r="Z58" s="143">
        <f>3.7+1.4</f>
        <v>5.0999999999999996</v>
      </c>
      <c r="AA58" s="13">
        <f t="shared" si="27"/>
        <v>12.400000000000004</v>
      </c>
      <c r="AB58" s="62"/>
      <c r="AC58" s="143">
        <f>0.6</f>
        <v>0.6</v>
      </c>
      <c r="AD58" s="13">
        <f t="shared" si="28"/>
        <v>11.800000000000004</v>
      </c>
      <c r="AE58" s="62"/>
      <c r="AF58" s="143"/>
      <c r="AG58" s="13">
        <f t="shared" si="29"/>
        <v>11.800000000000004</v>
      </c>
      <c r="AH58" s="62"/>
      <c r="AI58" s="143"/>
      <c r="AJ58" s="13">
        <f t="shared" si="30"/>
        <v>11.800000000000004</v>
      </c>
      <c r="AK58" s="61"/>
      <c r="AL58" s="143"/>
      <c r="AM58" s="13">
        <f t="shared" si="6"/>
        <v>11.800000000000004</v>
      </c>
      <c r="AN58" s="61"/>
      <c r="AO58" s="143">
        <f>2.1+1.2</f>
        <v>3.3</v>
      </c>
      <c r="AP58" s="13">
        <f t="shared" si="7"/>
        <v>8.5000000000000036</v>
      </c>
      <c r="AQ58" s="61"/>
      <c r="AR58" s="143"/>
      <c r="AS58" s="13">
        <f t="shared" si="8"/>
        <v>8.5000000000000036</v>
      </c>
      <c r="AT58" s="61"/>
      <c r="AU58" s="143"/>
      <c r="AV58" s="13">
        <f t="shared" si="9"/>
        <v>8.5000000000000036</v>
      </c>
      <c r="AW58" s="62"/>
      <c r="AX58" s="143"/>
      <c r="AY58" s="13">
        <f t="shared" si="10"/>
        <v>8.5000000000000036</v>
      </c>
      <c r="AZ58" s="62">
        <v>10</v>
      </c>
      <c r="BA58" s="143"/>
      <c r="BB58" s="13">
        <f t="shared" si="11"/>
        <v>18.500000000000004</v>
      </c>
      <c r="BC58" s="62"/>
      <c r="BD58" s="143"/>
      <c r="BE58" s="13">
        <f t="shared" si="12"/>
        <v>18.500000000000004</v>
      </c>
      <c r="BF58" s="62"/>
      <c r="BG58" s="143">
        <f>4.8+7</f>
        <v>11.8</v>
      </c>
      <c r="BH58" s="13">
        <f t="shared" si="13"/>
        <v>6.7000000000000028</v>
      </c>
      <c r="BI58" s="62"/>
      <c r="BJ58" s="143"/>
      <c r="BK58" s="13">
        <f t="shared" si="14"/>
        <v>6.7000000000000028</v>
      </c>
      <c r="BL58" s="62"/>
      <c r="BM58" s="143"/>
      <c r="BN58" s="13">
        <f t="shared" si="15"/>
        <v>6.7000000000000028</v>
      </c>
      <c r="BO58" s="62">
        <v>10</v>
      </c>
      <c r="BP58" s="143">
        <f>2.5+2.4</f>
        <v>4.9000000000000004</v>
      </c>
      <c r="BQ58" s="13">
        <f t="shared" si="16"/>
        <v>11.800000000000002</v>
      </c>
      <c r="BR58" s="62"/>
      <c r="BS58" s="143">
        <f>0.1+0.2</f>
        <v>0.30000000000000004</v>
      </c>
      <c r="BT58" s="13">
        <f t="shared" si="17"/>
        <v>11.500000000000002</v>
      </c>
      <c r="BU58" s="62"/>
      <c r="BV58" s="143"/>
      <c r="BW58" s="13">
        <f t="shared" si="18"/>
        <v>11.500000000000002</v>
      </c>
      <c r="BX58" s="62"/>
      <c r="BY58" s="143"/>
      <c r="BZ58" s="13">
        <f t="shared" si="19"/>
        <v>11.500000000000002</v>
      </c>
      <c r="CA58" s="62"/>
      <c r="CB58" s="143">
        <v>1.2</v>
      </c>
      <c r="CC58" s="13">
        <f t="shared" si="20"/>
        <v>10.300000000000002</v>
      </c>
      <c r="CD58" s="61">
        <v>20</v>
      </c>
      <c r="CE58" s="143">
        <f>2.7+4.9</f>
        <v>7.6000000000000005</v>
      </c>
      <c r="CF58" s="13">
        <f t="shared" si="21"/>
        <v>22.700000000000003</v>
      </c>
      <c r="CG58" s="62"/>
      <c r="CH58" s="143">
        <f>6.8+5</f>
        <v>11.8</v>
      </c>
      <c r="CI58" s="13">
        <f t="shared" si="31"/>
        <v>10.900000000000002</v>
      </c>
      <c r="CJ58" s="61"/>
      <c r="CK58" s="143">
        <f>3.2+0.6</f>
        <v>3.8000000000000003</v>
      </c>
      <c r="CL58" s="13">
        <f t="shared" si="32"/>
        <v>7.1000000000000014</v>
      </c>
      <c r="CM58" s="62"/>
      <c r="CN58" s="143">
        <f>0.2+0.2</f>
        <v>0.4</v>
      </c>
      <c r="CO58" s="13">
        <f t="shared" si="22"/>
        <v>6.7000000000000011</v>
      </c>
      <c r="CP58" s="62">
        <v>10</v>
      </c>
      <c r="CQ58" s="143">
        <f>1.4</f>
        <v>1.4</v>
      </c>
      <c r="CR58" s="13">
        <f t="shared" si="33"/>
        <v>15.300000000000002</v>
      </c>
      <c r="CS58" s="62"/>
      <c r="CT58" s="143"/>
      <c r="CU58" s="14">
        <f t="shared" si="23"/>
        <v>15.300000000000002</v>
      </c>
      <c r="CV58" s="5">
        <f t="shared" si="36"/>
        <v>60</v>
      </c>
      <c r="CW58" s="4">
        <f t="shared" si="36"/>
        <v>54.399999999999991</v>
      </c>
      <c r="CX58" s="6">
        <f t="shared" si="25"/>
        <v>15.300000000000002</v>
      </c>
      <c r="CY58" s="162">
        <v>480</v>
      </c>
      <c r="CZ58" s="171">
        <f t="shared" si="26"/>
        <v>7344.0000000000009</v>
      </c>
      <c r="DB58" s="2">
        <f t="shared" si="34"/>
        <v>15.300000000000002</v>
      </c>
      <c r="DC58" s="61"/>
      <c r="DD58" s="143"/>
      <c r="DE58" s="149">
        <f t="shared" si="35"/>
        <v>15.300000000000002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21</v>
      </c>
      <c r="G59" s="62">
        <v>60</v>
      </c>
      <c r="H59" s="143">
        <f>2+6+21+2</f>
        <v>31</v>
      </c>
      <c r="I59" s="13">
        <f t="shared" si="0"/>
        <v>50</v>
      </c>
      <c r="J59" s="62">
        <f>60</f>
        <v>60</v>
      </c>
      <c r="K59" s="143">
        <f>7+15+44+11</f>
        <v>77</v>
      </c>
      <c r="L59" s="13">
        <f t="shared" si="1"/>
        <v>33</v>
      </c>
      <c r="M59" s="62"/>
      <c r="N59" s="143"/>
      <c r="O59" s="13">
        <f t="shared" si="2"/>
        <v>33</v>
      </c>
      <c r="P59" s="62">
        <f>10</f>
        <v>10</v>
      </c>
      <c r="Q59" s="143">
        <f>1+3+7+16</f>
        <v>27</v>
      </c>
      <c r="R59" s="30">
        <f t="shared" si="3"/>
        <v>16</v>
      </c>
      <c r="S59" s="62">
        <v>70</v>
      </c>
      <c r="T59" s="143">
        <f>4+1+14+30</f>
        <v>49</v>
      </c>
      <c r="U59" s="13">
        <f t="shared" si="4"/>
        <v>37</v>
      </c>
      <c r="V59" s="62"/>
      <c r="W59" s="143"/>
      <c r="X59" s="13">
        <f t="shared" si="5"/>
        <v>37</v>
      </c>
      <c r="Y59" s="62">
        <v>40</v>
      </c>
      <c r="Z59" s="143">
        <f>1+1+8+20</f>
        <v>30</v>
      </c>
      <c r="AA59" s="13">
        <f t="shared" si="27"/>
        <v>47</v>
      </c>
      <c r="AB59" s="62">
        <v>50</v>
      </c>
      <c r="AC59" s="143">
        <f>2+2+6+21</f>
        <v>31</v>
      </c>
      <c r="AD59" s="13">
        <f t="shared" si="28"/>
        <v>66</v>
      </c>
      <c r="AE59" s="62">
        <f>40+10</f>
        <v>50</v>
      </c>
      <c r="AF59" s="143">
        <f>4+12+47</f>
        <v>63</v>
      </c>
      <c r="AG59" s="13">
        <f t="shared" si="29"/>
        <v>53</v>
      </c>
      <c r="AH59" s="62"/>
      <c r="AI59" s="143"/>
      <c r="AJ59" s="13">
        <f t="shared" si="30"/>
        <v>53</v>
      </c>
      <c r="AK59" s="61">
        <v>40</v>
      </c>
      <c r="AL59" s="143">
        <f>3+5+30</f>
        <v>38</v>
      </c>
      <c r="AM59" s="13">
        <f t="shared" si="6"/>
        <v>55</v>
      </c>
      <c r="AN59" s="61">
        <v>40</v>
      </c>
      <c r="AO59" s="143">
        <f>12+5+1+36</f>
        <v>54</v>
      </c>
      <c r="AP59" s="13">
        <f t="shared" si="7"/>
        <v>41</v>
      </c>
      <c r="AQ59" s="61">
        <v>40</v>
      </c>
      <c r="AR59" s="143"/>
      <c r="AS59" s="13">
        <f t="shared" si="8"/>
        <v>81</v>
      </c>
      <c r="AT59" s="61">
        <v>40</v>
      </c>
      <c r="AU59" s="143">
        <f>3+8-2+24</f>
        <v>33</v>
      </c>
      <c r="AV59" s="13">
        <f t="shared" si="9"/>
        <v>88</v>
      </c>
      <c r="AW59" s="62">
        <v>50</v>
      </c>
      <c r="AX59" s="143">
        <f>4+4+25</f>
        <v>33</v>
      </c>
      <c r="AY59" s="13">
        <f t="shared" si="10"/>
        <v>105</v>
      </c>
      <c r="AZ59" s="62">
        <v>30</v>
      </c>
      <c r="BA59" s="143">
        <f>1+8+12+44</f>
        <v>65</v>
      </c>
      <c r="BB59" s="13">
        <f t="shared" si="11"/>
        <v>70</v>
      </c>
      <c r="BC59" s="62"/>
      <c r="BD59" s="143"/>
      <c r="BE59" s="13">
        <f t="shared" si="12"/>
        <v>70</v>
      </c>
      <c r="BF59" s="62">
        <v>30</v>
      </c>
      <c r="BG59" s="143">
        <f>3+1+5+13</f>
        <v>22</v>
      </c>
      <c r="BH59" s="13">
        <f t="shared" si="13"/>
        <v>78</v>
      </c>
      <c r="BI59" s="62">
        <v>40</v>
      </c>
      <c r="BJ59" s="143">
        <f>4+1+9+35</f>
        <v>49</v>
      </c>
      <c r="BK59" s="13">
        <f t="shared" si="14"/>
        <v>69</v>
      </c>
      <c r="BL59" s="62"/>
      <c r="BM59" s="143"/>
      <c r="BN59" s="13">
        <f t="shared" si="15"/>
        <v>69</v>
      </c>
      <c r="BO59" s="62">
        <v>20</v>
      </c>
      <c r="BP59" s="143">
        <f>1+4+2+18</f>
        <v>25</v>
      </c>
      <c r="BQ59" s="13">
        <f t="shared" si="16"/>
        <v>64</v>
      </c>
      <c r="BR59" s="62">
        <v>50</v>
      </c>
      <c r="BS59" s="143">
        <f>2+4+23</f>
        <v>29</v>
      </c>
      <c r="BT59" s="13">
        <f t="shared" si="17"/>
        <v>85</v>
      </c>
      <c r="BU59" s="62">
        <v>30</v>
      </c>
      <c r="BV59" s="143">
        <f>6+15+45</f>
        <v>66</v>
      </c>
      <c r="BW59" s="13">
        <f t="shared" si="18"/>
        <v>49</v>
      </c>
      <c r="BX59" s="62"/>
      <c r="BY59" s="143"/>
      <c r="BZ59" s="13">
        <f t="shared" si="19"/>
        <v>49</v>
      </c>
      <c r="CA59" s="62">
        <v>30</v>
      </c>
      <c r="CB59" s="143">
        <f>2+5+10</f>
        <v>17</v>
      </c>
      <c r="CC59" s="13">
        <f t="shared" si="20"/>
        <v>62</v>
      </c>
      <c r="CD59" s="61">
        <v>40</v>
      </c>
      <c r="CE59" s="143">
        <f>5+13+32</f>
        <v>50</v>
      </c>
      <c r="CF59" s="13">
        <f t="shared" si="21"/>
        <v>52</v>
      </c>
      <c r="CG59" s="62"/>
      <c r="CH59" s="143"/>
      <c r="CI59" s="13">
        <f t="shared" si="31"/>
        <v>52</v>
      </c>
      <c r="CJ59" s="61">
        <v>40</v>
      </c>
      <c r="CK59" s="143">
        <f>2+1+4+13</f>
        <v>20</v>
      </c>
      <c r="CL59" s="13">
        <f t="shared" si="32"/>
        <v>72</v>
      </c>
      <c r="CM59" s="62">
        <f>50-20</f>
        <v>30</v>
      </c>
      <c r="CN59" s="143">
        <f>2+3+20</f>
        <v>25</v>
      </c>
      <c r="CO59" s="13">
        <f t="shared" si="22"/>
        <v>77</v>
      </c>
      <c r="CP59" s="62">
        <v>30</v>
      </c>
      <c r="CQ59" s="143">
        <f>4+9+43</f>
        <v>56</v>
      </c>
      <c r="CR59" s="13">
        <f t="shared" si="33"/>
        <v>51</v>
      </c>
      <c r="CS59" s="62"/>
      <c r="CT59" s="143"/>
      <c r="CU59" s="14">
        <f t="shared" si="23"/>
        <v>51</v>
      </c>
      <c r="CV59" s="5">
        <f t="shared" si="36"/>
        <v>920</v>
      </c>
      <c r="CW59" s="4">
        <f t="shared" si="36"/>
        <v>890</v>
      </c>
      <c r="CX59" s="6">
        <f t="shared" si="25"/>
        <v>51</v>
      </c>
      <c r="CY59" s="162">
        <v>214</v>
      </c>
      <c r="CZ59" s="171">
        <f t="shared" si="26"/>
        <v>10914</v>
      </c>
      <c r="DB59" s="2">
        <f t="shared" si="34"/>
        <v>51</v>
      </c>
      <c r="DC59" s="61"/>
      <c r="DD59" s="143"/>
      <c r="DE59" s="149">
        <f t="shared" si="35"/>
        <v>51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0</v>
      </c>
      <c r="G60" s="62">
        <f>12-40+48</f>
        <v>20</v>
      </c>
      <c r="H60" s="143"/>
      <c r="I60" s="13">
        <f t="shared" si="0"/>
        <v>20</v>
      </c>
      <c r="J60" s="62">
        <f>-7-10+48</f>
        <v>31</v>
      </c>
      <c r="K60" s="143">
        <f>20</f>
        <v>20</v>
      </c>
      <c r="L60" s="13">
        <f t="shared" si="1"/>
        <v>31</v>
      </c>
      <c r="M60" s="62"/>
      <c r="N60" s="143"/>
      <c r="O60" s="13">
        <f t="shared" si="2"/>
        <v>31</v>
      </c>
      <c r="P60" s="62">
        <f>-6-2-3+48</f>
        <v>37</v>
      </c>
      <c r="Q60" s="143">
        <v>22</v>
      </c>
      <c r="R60" s="30">
        <f t="shared" si="3"/>
        <v>46</v>
      </c>
      <c r="S60" s="62">
        <v>24</v>
      </c>
      <c r="T60" s="143">
        <f>5+4+2+16</f>
        <v>27</v>
      </c>
      <c r="U60" s="13">
        <f t="shared" si="4"/>
        <v>43</v>
      </c>
      <c r="V60" s="62"/>
      <c r="W60" s="143">
        <f>4+4</f>
        <v>8</v>
      </c>
      <c r="X60" s="13">
        <f t="shared" si="5"/>
        <v>35</v>
      </c>
      <c r="Y60" s="62">
        <v>24</v>
      </c>
      <c r="Z60" s="143">
        <f>4+4+12</f>
        <v>20</v>
      </c>
      <c r="AA60" s="13">
        <f t="shared" si="27"/>
        <v>39</v>
      </c>
      <c r="AB60" s="62">
        <v>48</v>
      </c>
      <c r="AC60" s="143">
        <f>1+1+1+22</f>
        <v>25</v>
      </c>
      <c r="AD60" s="13">
        <f t="shared" si="28"/>
        <v>62</v>
      </c>
      <c r="AE60" s="62">
        <v>24</v>
      </c>
      <c r="AF60" s="143">
        <v>24</v>
      </c>
      <c r="AG60" s="13">
        <f t="shared" si="29"/>
        <v>62</v>
      </c>
      <c r="AH60" s="62"/>
      <c r="AI60" s="143"/>
      <c r="AJ60" s="13">
        <f t="shared" si="30"/>
        <v>62</v>
      </c>
      <c r="AK60" s="61">
        <v>24</v>
      </c>
      <c r="AL60" s="143">
        <f>26</f>
        <v>26</v>
      </c>
      <c r="AM60" s="13">
        <f t="shared" si="6"/>
        <v>60</v>
      </c>
      <c r="AN60" s="61">
        <v>48</v>
      </c>
      <c r="AO60" s="143">
        <f>3+18+2+4</f>
        <v>27</v>
      </c>
      <c r="AP60" s="13">
        <f t="shared" si="7"/>
        <v>81</v>
      </c>
      <c r="AQ60" s="62"/>
      <c r="AR60" s="143">
        <f>3+4+6+3+3</f>
        <v>19</v>
      </c>
      <c r="AS60" s="13">
        <f t="shared" si="8"/>
        <v>62</v>
      </c>
      <c r="AT60" s="61">
        <v>24</v>
      </c>
      <c r="AU60" s="143">
        <f>4+4+2+2+26</f>
        <v>38</v>
      </c>
      <c r="AV60" s="13">
        <f t="shared" si="9"/>
        <v>48</v>
      </c>
      <c r="AW60" s="62">
        <v>48</v>
      </c>
      <c r="AX60" s="143">
        <v>12</v>
      </c>
      <c r="AY60" s="13">
        <f t="shared" si="10"/>
        <v>84</v>
      </c>
      <c r="AZ60" s="62">
        <v>24</v>
      </c>
      <c r="BA60" s="143">
        <f>3+24</f>
        <v>27</v>
      </c>
      <c r="BB60" s="13">
        <f t="shared" si="11"/>
        <v>81</v>
      </c>
      <c r="BC60" s="62"/>
      <c r="BD60" s="143"/>
      <c r="BE60" s="13">
        <f t="shared" si="12"/>
        <v>81</v>
      </c>
      <c r="BF60" s="62"/>
      <c r="BG60" s="143">
        <f>2+14</f>
        <v>16</v>
      </c>
      <c r="BH60" s="13">
        <f t="shared" si="13"/>
        <v>65</v>
      </c>
      <c r="BI60" s="62">
        <v>24</v>
      </c>
      <c r="BJ60" s="143">
        <f>4+2+4+2+18</f>
        <v>30</v>
      </c>
      <c r="BK60" s="13">
        <f t="shared" si="14"/>
        <v>59</v>
      </c>
      <c r="BL60" s="62"/>
      <c r="BM60" s="143">
        <f>6+4+5</f>
        <v>15</v>
      </c>
      <c r="BN60" s="13">
        <f t="shared" si="15"/>
        <v>44</v>
      </c>
      <c r="BO60" s="62">
        <v>24</v>
      </c>
      <c r="BP60" s="143">
        <f>4+4+14</f>
        <v>22</v>
      </c>
      <c r="BQ60" s="13">
        <f t="shared" si="16"/>
        <v>46</v>
      </c>
      <c r="BR60" s="62">
        <v>48</v>
      </c>
      <c r="BS60" s="143">
        <f>1+1+1+6</f>
        <v>9</v>
      </c>
      <c r="BT60" s="13">
        <f t="shared" si="17"/>
        <v>85</v>
      </c>
      <c r="BU60" s="62">
        <v>24</v>
      </c>
      <c r="BV60" s="143">
        <f>3+7+32</f>
        <v>42</v>
      </c>
      <c r="BW60" s="13">
        <f t="shared" si="18"/>
        <v>67</v>
      </c>
      <c r="BX60" s="62"/>
      <c r="BY60" s="143"/>
      <c r="BZ60" s="13">
        <f t="shared" si="19"/>
        <v>67</v>
      </c>
      <c r="CA60" s="62">
        <v>24</v>
      </c>
      <c r="CB60" s="143">
        <f>5+3+8</f>
        <v>16</v>
      </c>
      <c r="CC60" s="13">
        <f t="shared" si="20"/>
        <v>75</v>
      </c>
      <c r="CD60" s="61">
        <v>24</v>
      </c>
      <c r="CE60" s="143">
        <f>2+6+6+16</f>
        <v>30</v>
      </c>
      <c r="CF60" s="13">
        <f t="shared" si="21"/>
        <v>69</v>
      </c>
      <c r="CG60" s="62"/>
      <c r="CH60" s="143">
        <f>6+7+4</f>
        <v>17</v>
      </c>
      <c r="CI60" s="13">
        <f t="shared" si="31"/>
        <v>52</v>
      </c>
      <c r="CJ60" s="61"/>
      <c r="CK60" s="143">
        <f>2+6+6+16</f>
        <v>30</v>
      </c>
      <c r="CL60" s="13">
        <f t="shared" si="32"/>
        <v>22</v>
      </c>
      <c r="CM60" s="62">
        <v>48</v>
      </c>
      <c r="CN60" s="143">
        <v>22</v>
      </c>
      <c r="CO60" s="13">
        <f t="shared" si="22"/>
        <v>48</v>
      </c>
      <c r="CP60" s="62">
        <f>-4+24</f>
        <v>20</v>
      </c>
      <c r="CQ60" s="143">
        <f>2+6+40</f>
        <v>48</v>
      </c>
      <c r="CR60" s="13">
        <f t="shared" si="33"/>
        <v>20</v>
      </c>
      <c r="CS60" s="62"/>
      <c r="CT60" s="143"/>
      <c r="CU60" s="14">
        <f t="shared" si="23"/>
        <v>20</v>
      </c>
      <c r="CV60" s="5">
        <f t="shared" si="36"/>
        <v>612</v>
      </c>
      <c r="CW60" s="4">
        <f t="shared" si="36"/>
        <v>592</v>
      </c>
      <c r="CX60" s="6">
        <f t="shared" si="25"/>
        <v>20</v>
      </c>
      <c r="CY60" s="162">
        <v>28</v>
      </c>
      <c r="CZ60" s="171">
        <f t="shared" si="26"/>
        <v>560</v>
      </c>
      <c r="DB60" s="2">
        <f t="shared" si="34"/>
        <v>20</v>
      </c>
      <c r="DC60" s="61"/>
      <c r="DD60" s="143"/>
      <c r="DE60" s="149">
        <f t="shared" si="35"/>
        <v>20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1"/>
      <c r="AL61" s="143"/>
      <c r="AM61" s="13">
        <f t="shared" si="6"/>
        <v>0</v>
      </c>
      <c r="AN61" s="61"/>
      <c r="AO61" s="143"/>
      <c r="AP61" s="13">
        <f t="shared" si="7"/>
        <v>0</v>
      </c>
      <c r="AQ61" s="62"/>
      <c r="AR61" s="143"/>
      <c r="AS61" s="13">
        <f t="shared" si="8"/>
        <v>0</v>
      </c>
      <c r="AT61" s="61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1"/>
      <c r="AL62" s="143"/>
      <c r="AM62" s="13">
        <f t="shared" si="6"/>
        <v>0</v>
      </c>
      <c r="AN62" s="61"/>
      <c r="AO62" s="143"/>
      <c r="AP62" s="13">
        <f t="shared" si="7"/>
        <v>0</v>
      </c>
      <c r="AQ62" s="62"/>
      <c r="AR62" s="143"/>
      <c r="AS62" s="13">
        <f t="shared" si="8"/>
        <v>0</v>
      </c>
      <c r="AT62" s="61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1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1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27</v>
      </c>
      <c r="G63" s="62">
        <f>-145-20+420</f>
        <v>255</v>
      </c>
      <c r="H63" s="143">
        <f>20+6</f>
        <v>26</v>
      </c>
      <c r="I63" s="13">
        <f t="shared" si="0"/>
        <v>256</v>
      </c>
      <c r="J63" s="62">
        <f>-140+280+140-22</f>
        <v>258</v>
      </c>
      <c r="K63" s="143">
        <f>15+3+225+10</f>
        <v>253</v>
      </c>
      <c r="L63" s="13">
        <f t="shared" si="1"/>
        <v>261</v>
      </c>
      <c r="M63" s="62"/>
      <c r="N63" s="143"/>
      <c r="O63" s="13">
        <f t="shared" si="2"/>
        <v>261</v>
      </c>
      <c r="P63" s="62">
        <v>280</v>
      </c>
      <c r="Q63" s="143">
        <f>15+110</f>
        <v>125</v>
      </c>
      <c r="R63" s="30">
        <f t="shared" si="3"/>
        <v>416</v>
      </c>
      <c r="S63" s="62"/>
      <c r="T63" s="143">
        <f>10+4+60</f>
        <v>74</v>
      </c>
      <c r="U63" s="13">
        <f t="shared" si="4"/>
        <v>342</v>
      </c>
      <c r="V63" s="62"/>
      <c r="W63" s="143"/>
      <c r="X63" s="13">
        <f t="shared" si="5"/>
        <v>342</v>
      </c>
      <c r="Y63" s="62">
        <f>-60+280</f>
        <v>220</v>
      </c>
      <c r="Z63" s="143">
        <f>15+3+320</f>
        <v>338</v>
      </c>
      <c r="AA63" s="13">
        <f t="shared" si="27"/>
        <v>224</v>
      </c>
      <c r="AB63" s="62">
        <f>-40+560</f>
        <v>520</v>
      </c>
      <c r="AC63" s="143">
        <f>15+6+195</f>
        <v>216</v>
      </c>
      <c r="AD63" s="13">
        <f t="shared" si="28"/>
        <v>528</v>
      </c>
      <c r="AE63" s="62">
        <v>420</v>
      </c>
      <c r="AF63" s="143">
        <f>15+1+6+440</f>
        <v>462</v>
      </c>
      <c r="AG63" s="13">
        <f t="shared" si="29"/>
        <v>486</v>
      </c>
      <c r="AH63" s="62"/>
      <c r="AI63" s="143"/>
      <c r="AJ63" s="13">
        <f t="shared" si="30"/>
        <v>486</v>
      </c>
      <c r="AK63" s="61">
        <f>140*4</f>
        <v>560</v>
      </c>
      <c r="AL63" s="143">
        <f>20+4+215+100</f>
        <v>339</v>
      </c>
      <c r="AM63" s="13">
        <f t="shared" si="6"/>
        <v>707</v>
      </c>
      <c r="AN63" s="61">
        <f>140*3-15</f>
        <v>405</v>
      </c>
      <c r="AO63" s="143">
        <f>1+30+310</f>
        <v>341</v>
      </c>
      <c r="AP63" s="13">
        <f t="shared" si="7"/>
        <v>771</v>
      </c>
      <c r="AQ63" s="62"/>
      <c r="AR63" s="143"/>
      <c r="AS63" s="13">
        <f t="shared" si="8"/>
        <v>771</v>
      </c>
      <c r="AT63" s="183"/>
      <c r="AU63" s="143">
        <f>30+5+155+80</f>
        <v>270</v>
      </c>
      <c r="AV63" s="13">
        <f t="shared" si="9"/>
        <v>501</v>
      </c>
      <c r="AW63" s="62"/>
      <c r="AX63" s="143">
        <f>20+5+280+8</f>
        <v>313</v>
      </c>
      <c r="AY63" s="13">
        <f t="shared" si="10"/>
        <v>188</v>
      </c>
      <c r="AZ63" s="62">
        <f>-390+560+140-15</f>
        <v>295</v>
      </c>
      <c r="BA63" s="143">
        <f>30+4+150</f>
        <v>184</v>
      </c>
      <c r="BB63" s="13">
        <f t="shared" si="11"/>
        <v>299</v>
      </c>
      <c r="BC63" s="62"/>
      <c r="BD63" s="143"/>
      <c r="BE63" s="13">
        <f t="shared" si="12"/>
        <v>299</v>
      </c>
      <c r="BF63" s="62">
        <f>-60+280+140+10</f>
        <v>370</v>
      </c>
      <c r="BG63" s="143">
        <f>30+5+227+40</f>
        <v>302</v>
      </c>
      <c r="BH63" s="13">
        <f t="shared" si="13"/>
        <v>367</v>
      </c>
      <c r="BI63" s="62">
        <f>-120+280+280</f>
        <v>440</v>
      </c>
      <c r="BJ63" s="143">
        <f>50+5+305</f>
        <v>360</v>
      </c>
      <c r="BK63" s="13">
        <f t="shared" si="14"/>
        <v>447</v>
      </c>
      <c r="BL63" s="62"/>
      <c r="BM63" s="143"/>
      <c r="BN63" s="13">
        <f t="shared" si="15"/>
        <v>447</v>
      </c>
      <c r="BO63" s="62">
        <f>140+140</f>
        <v>280</v>
      </c>
      <c r="BP63" s="143">
        <f>2+30+400</f>
        <v>432</v>
      </c>
      <c r="BQ63" s="13">
        <f t="shared" si="16"/>
        <v>295</v>
      </c>
      <c r="BR63" s="62">
        <f>-80+280+140</f>
        <v>340</v>
      </c>
      <c r="BS63" s="143">
        <f>30+4+250</f>
        <v>284</v>
      </c>
      <c r="BT63" s="13">
        <f t="shared" si="17"/>
        <v>351</v>
      </c>
      <c r="BU63" s="62">
        <f>-160+280+280</f>
        <v>400</v>
      </c>
      <c r="BV63" s="143">
        <f>40+11+285</f>
        <v>336</v>
      </c>
      <c r="BW63" s="13">
        <f t="shared" si="18"/>
        <v>415</v>
      </c>
      <c r="BX63" s="62"/>
      <c r="BY63" s="143"/>
      <c r="BZ63" s="13">
        <f t="shared" si="19"/>
        <v>415</v>
      </c>
      <c r="CA63" s="62">
        <f>3*140</f>
        <v>420</v>
      </c>
      <c r="CB63" s="143">
        <f>30+65</f>
        <v>95</v>
      </c>
      <c r="CC63" s="13">
        <f t="shared" si="20"/>
        <v>740</v>
      </c>
      <c r="CD63" s="61">
        <f>-10+280</f>
        <v>270</v>
      </c>
      <c r="CE63" s="143">
        <f>50+435+20</f>
        <v>505</v>
      </c>
      <c r="CF63" s="13">
        <f t="shared" si="21"/>
        <v>505</v>
      </c>
      <c r="CG63" s="62"/>
      <c r="CH63" s="143"/>
      <c r="CI63" s="13">
        <f t="shared" si="31"/>
        <v>505</v>
      </c>
      <c r="CJ63" s="61">
        <v>280</v>
      </c>
      <c r="CK63" s="143">
        <f>30+3+205</f>
        <v>238</v>
      </c>
      <c r="CL63" s="13">
        <f t="shared" si="32"/>
        <v>547</v>
      </c>
      <c r="CM63" s="62">
        <v>280</v>
      </c>
      <c r="CN63" s="143">
        <f>30+1+460</f>
        <v>491</v>
      </c>
      <c r="CO63" s="13">
        <f t="shared" si="22"/>
        <v>336</v>
      </c>
      <c r="CP63" s="62">
        <f>-40-5+280</f>
        <v>235</v>
      </c>
      <c r="CQ63" s="143">
        <f>55+3+265</f>
        <v>323</v>
      </c>
      <c r="CR63" s="13">
        <f t="shared" si="33"/>
        <v>248</v>
      </c>
      <c r="CS63" s="62"/>
      <c r="CT63" s="143"/>
      <c r="CU63" s="14">
        <f t="shared" si="23"/>
        <v>248</v>
      </c>
      <c r="CV63" s="5">
        <f t="shared" si="36"/>
        <v>6528</v>
      </c>
      <c r="CW63" s="4">
        <f t="shared" si="36"/>
        <v>6307</v>
      </c>
      <c r="CX63" s="6">
        <f t="shared" si="25"/>
        <v>248</v>
      </c>
      <c r="CY63" s="162">
        <v>45</v>
      </c>
      <c r="CZ63" s="171">
        <f t="shared" si="26"/>
        <v>11160</v>
      </c>
      <c r="DB63" s="2">
        <f t="shared" si="34"/>
        <v>248</v>
      </c>
      <c r="DC63" s="61"/>
      <c r="DD63" s="143"/>
      <c r="DE63" s="149">
        <f t="shared" si="35"/>
        <v>248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2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1"/>
      <c r="AL64" s="143"/>
      <c r="AM64" s="13">
        <f t="shared" si="6"/>
        <v>0</v>
      </c>
      <c r="AN64" s="61"/>
      <c r="AO64" s="143"/>
      <c r="AP64" s="13">
        <f t="shared" si="7"/>
        <v>0</v>
      </c>
      <c r="AQ64" s="62"/>
      <c r="AR64" s="143"/>
      <c r="AS64" s="13">
        <f t="shared" si="8"/>
        <v>0</v>
      </c>
      <c r="AT64" s="61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2"/>
      <c r="BA64" s="190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1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1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1"/>
      <c r="AL65" s="143"/>
      <c r="AM65" s="13">
        <f t="shared" si="6"/>
        <v>0</v>
      </c>
      <c r="AN65" s="61"/>
      <c r="AO65" s="143"/>
      <c r="AP65" s="13">
        <f t="shared" si="7"/>
        <v>0</v>
      </c>
      <c r="AQ65" s="62"/>
      <c r="AR65" s="143"/>
      <c r="AS65" s="13">
        <f t="shared" si="8"/>
        <v>0</v>
      </c>
      <c r="AT65" s="61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1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1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1"/>
      <c r="AL66" s="143"/>
      <c r="AM66" s="13">
        <f t="shared" si="6"/>
        <v>0</v>
      </c>
      <c r="AN66" s="61"/>
      <c r="AO66" s="143"/>
      <c r="AP66" s="13">
        <f t="shared" si="7"/>
        <v>0</v>
      </c>
      <c r="AQ66" s="62"/>
      <c r="AR66" s="143"/>
      <c r="AS66" s="13">
        <f t="shared" si="8"/>
        <v>0</v>
      </c>
      <c r="AT66" s="61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1"/>
      <c r="AL67" s="143"/>
      <c r="AM67" s="13">
        <f t="shared" si="6"/>
        <v>0</v>
      </c>
      <c r="AN67" s="61"/>
      <c r="AO67" s="143"/>
      <c r="AP67" s="13">
        <f t="shared" si="7"/>
        <v>0</v>
      </c>
      <c r="AQ67" s="62"/>
      <c r="AR67" s="143"/>
      <c r="AS67" s="13">
        <f t="shared" si="8"/>
        <v>0</v>
      </c>
      <c r="AT67" s="61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>
        <v>4</v>
      </c>
      <c r="T68" s="143"/>
      <c r="U68" s="13">
        <f t="shared" si="4"/>
        <v>4</v>
      </c>
      <c r="V68" s="62"/>
      <c r="W68" s="143">
        <f>2</f>
        <v>2</v>
      </c>
      <c r="X68" s="13">
        <f t="shared" si="5"/>
        <v>2</v>
      </c>
      <c r="Y68" s="62"/>
      <c r="Z68" s="143">
        <v>1</v>
      </c>
      <c r="AA68" s="13">
        <f t="shared" si="27"/>
        <v>1</v>
      </c>
      <c r="AB68" s="62"/>
      <c r="AC68" s="143"/>
      <c r="AD68" s="13">
        <f t="shared" si="28"/>
        <v>1</v>
      </c>
      <c r="AE68" s="62"/>
      <c r="AF68" s="143">
        <v>1</v>
      </c>
      <c r="AG68" s="13">
        <f t="shared" si="29"/>
        <v>0</v>
      </c>
      <c r="AH68" s="62"/>
      <c r="AI68" s="143"/>
      <c r="AJ68" s="13">
        <f t="shared" si="30"/>
        <v>0</v>
      </c>
      <c r="AK68" s="61"/>
      <c r="AL68" s="143"/>
      <c r="AM68" s="13">
        <f t="shared" si="6"/>
        <v>0</v>
      </c>
      <c r="AN68" s="61">
        <v>2</v>
      </c>
      <c r="AO68" s="143"/>
      <c r="AP68" s="13">
        <f t="shared" si="7"/>
        <v>2</v>
      </c>
      <c r="AQ68" s="62"/>
      <c r="AR68" s="143"/>
      <c r="AS68" s="13">
        <f t="shared" si="8"/>
        <v>2</v>
      </c>
      <c r="AT68" s="61"/>
      <c r="AU68" s="143"/>
      <c r="AV68" s="13">
        <f t="shared" si="9"/>
        <v>2</v>
      </c>
      <c r="AW68" s="62"/>
      <c r="AX68" s="143">
        <v>1</v>
      </c>
      <c r="AY68" s="13">
        <f t="shared" si="10"/>
        <v>1</v>
      </c>
      <c r="AZ68" s="62"/>
      <c r="BA68" s="143"/>
      <c r="BB68" s="13">
        <f t="shared" si="11"/>
        <v>1</v>
      </c>
      <c r="BC68" s="62"/>
      <c r="BD68" s="143"/>
      <c r="BE68" s="13">
        <f t="shared" si="12"/>
        <v>1</v>
      </c>
      <c r="BF68" s="62"/>
      <c r="BG68" s="143"/>
      <c r="BH68" s="13">
        <f t="shared" si="13"/>
        <v>1</v>
      </c>
      <c r="BI68" s="62"/>
      <c r="BJ68" s="143">
        <v>1</v>
      </c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>
        <v>4</v>
      </c>
      <c r="BV68" s="143"/>
      <c r="BW68" s="13">
        <f t="shared" si="18"/>
        <v>4</v>
      </c>
      <c r="BX68" s="62"/>
      <c r="BY68" s="143"/>
      <c r="BZ68" s="13">
        <f t="shared" si="19"/>
        <v>4</v>
      </c>
      <c r="CA68" s="62"/>
      <c r="CB68" s="143">
        <f>1+1+2</f>
        <v>4</v>
      </c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>
        <v>2</v>
      </c>
      <c r="CK68" s="143"/>
      <c r="CL68" s="13">
        <f t="shared" si="32"/>
        <v>2</v>
      </c>
      <c r="CM68" s="62">
        <f>-2+2</f>
        <v>0</v>
      </c>
      <c r="CN68" s="143">
        <v>1</v>
      </c>
      <c r="CO68" s="13">
        <f t="shared" si="22"/>
        <v>1</v>
      </c>
      <c r="CP68" s="62"/>
      <c r="CQ68" s="143"/>
      <c r="CR68" s="13">
        <f t="shared" si="33"/>
        <v>1</v>
      </c>
      <c r="CS68" s="62"/>
      <c r="CT68" s="143"/>
      <c r="CU68" s="14">
        <f t="shared" si="23"/>
        <v>1</v>
      </c>
      <c r="CV68" s="5">
        <f t="shared" si="36"/>
        <v>12</v>
      </c>
      <c r="CW68" s="4">
        <f t="shared" si="36"/>
        <v>11</v>
      </c>
      <c r="CX68" s="6">
        <f t="shared" si="25"/>
        <v>1</v>
      </c>
      <c r="CY68" s="162">
        <v>1900</v>
      </c>
      <c r="CZ68" s="171">
        <f t="shared" si="26"/>
        <v>1900</v>
      </c>
      <c r="DB68" s="2">
        <f t="shared" si="34"/>
        <v>1</v>
      </c>
      <c r="DC68" s="62"/>
      <c r="DD68" s="143"/>
      <c r="DE68" s="149">
        <f t="shared" si="35"/>
        <v>1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1</v>
      </c>
      <c r="G69" s="62"/>
      <c r="H69" s="143"/>
      <c r="I69" s="13">
        <f>F69+G69-H69</f>
        <v>1</v>
      </c>
      <c r="J69" s="62"/>
      <c r="K69" s="143"/>
      <c r="L69" s="13">
        <f>I69+J69-K69</f>
        <v>1</v>
      </c>
      <c r="M69" s="62"/>
      <c r="N69" s="143"/>
      <c r="O69" s="13">
        <f>L69+M69-N69</f>
        <v>1</v>
      </c>
      <c r="P69" s="62"/>
      <c r="Q69" s="143"/>
      <c r="R69" s="30">
        <f>O69+P69-Q69</f>
        <v>1</v>
      </c>
      <c r="S69" s="62"/>
      <c r="T69" s="143">
        <v>1</v>
      </c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1"/>
      <c r="AL69" s="143"/>
      <c r="AM69" s="13">
        <f>AJ69+AK69-AL69</f>
        <v>0</v>
      </c>
      <c r="AN69" s="61"/>
      <c r="AO69" s="143"/>
      <c r="AP69" s="13">
        <f>AM69+AN69-AO69</f>
        <v>0</v>
      </c>
      <c r="AQ69" s="62"/>
      <c r="AR69" s="143"/>
      <c r="AS69" s="13">
        <f>AP69+AQ69-AR69</f>
        <v>0</v>
      </c>
      <c r="AT69" s="61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1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20</v>
      </c>
      <c r="G70" s="62"/>
      <c r="H70" s="143"/>
      <c r="I70" s="13">
        <f>F70+G70-H70</f>
        <v>20</v>
      </c>
      <c r="J70" s="62"/>
      <c r="K70" s="143"/>
      <c r="L70" s="13">
        <f>I70+J70-K70</f>
        <v>20</v>
      </c>
      <c r="M70" s="62"/>
      <c r="N70" s="143"/>
      <c r="O70" s="13">
        <f>L70+M70-N70</f>
        <v>20</v>
      </c>
      <c r="P70" s="62"/>
      <c r="Q70" s="143"/>
      <c r="R70" s="30">
        <f>O70+P70-Q70</f>
        <v>20</v>
      </c>
      <c r="S70" s="62"/>
      <c r="T70" s="143"/>
      <c r="U70" s="13">
        <f>R70+S70-T70</f>
        <v>20</v>
      </c>
      <c r="V70" s="62"/>
      <c r="W70" s="143"/>
      <c r="X70" s="13">
        <f>U70+V70-W70</f>
        <v>20</v>
      </c>
      <c r="Y70" s="62"/>
      <c r="Z70" s="143"/>
      <c r="AA70" s="13">
        <f>X70+Y70-Z70</f>
        <v>20</v>
      </c>
      <c r="AB70" s="62"/>
      <c r="AC70" s="143"/>
      <c r="AD70" s="13">
        <f>AA70+AB70-AC70</f>
        <v>20</v>
      </c>
      <c r="AE70" s="62"/>
      <c r="AF70" s="143"/>
      <c r="AG70" s="13">
        <f>AD70+AE70-AF70</f>
        <v>20</v>
      </c>
      <c r="AH70" s="62"/>
      <c r="AI70" s="143"/>
      <c r="AJ70" s="13">
        <f>AG70+AH70-AI70</f>
        <v>20</v>
      </c>
      <c r="AK70" s="61"/>
      <c r="AL70" s="143"/>
      <c r="AM70" s="13">
        <f>AJ70+AK70-AL70</f>
        <v>20</v>
      </c>
      <c r="AN70" s="61"/>
      <c r="AO70" s="143"/>
      <c r="AP70" s="13">
        <f>AM70+AN70-AO70</f>
        <v>20</v>
      </c>
      <c r="AQ70" s="62"/>
      <c r="AR70" s="143"/>
      <c r="AS70" s="13">
        <f>AP70+AQ70-AR70</f>
        <v>20</v>
      </c>
      <c r="AT70" s="61"/>
      <c r="AU70" s="143"/>
      <c r="AV70" s="13">
        <f>AS70+AT70-AU70</f>
        <v>20</v>
      </c>
      <c r="AW70" s="62"/>
      <c r="AX70" s="143"/>
      <c r="AY70" s="13">
        <f>AV70+AW70-AX70</f>
        <v>20</v>
      </c>
      <c r="AZ70" s="62"/>
      <c r="BA70" s="143"/>
      <c r="BB70" s="13">
        <f>AY70+AZ70-BA70</f>
        <v>20</v>
      </c>
      <c r="BC70" s="62"/>
      <c r="BD70" s="143"/>
      <c r="BE70" s="13">
        <f>BB70+BC70-BD70</f>
        <v>20</v>
      </c>
      <c r="BF70" s="62"/>
      <c r="BG70" s="143"/>
      <c r="BH70" s="13">
        <f>BE70+BF70-BG70</f>
        <v>20</v>
      </c>
      <c r="BI70" s="62"/>
      <c r="BJ70" s="143"/>
      <c r="BK70" s="13">
        <f>BH70+BI70-BJ70</f>
        <v>20</v>
      </c>
      <c r="BL70" s="62"/>
      <c r="BM70" s="143"/>
      <c r="BN70" s="13">
        <f>BK70+BL70-BM70</f>
        <v>20</v>
      </c>
      <c r="BO70" s="62"/>
      <c r="BP70" s="143"/>
      <c r="BQ70" s="13">
        <f>BN70+BO70-BP70</f>
        <v>20</v>
      </c>
      <c r="BR70" s="62"/>
      <c r="BS70" s="143"/>
      <c r="BT70" s="13">
        <f t="shared" si="37"/>
        <v>20</v>
      </c>
      <c r="BU70" s="62"/>
      <c r="BV70" s="143"/>
      <c r="BW70" s="13">
        <f>BT70+BU70-BV70</f>
        <v>20</v>
      </c>
      <c r="BX70" s="62"/>
      <c r="BY70" s="143"/>
      <c r="BZ70" s="13">
        <f t="shared" si="38"/>
        <v>20</v>
      </c>
      <c r="CA70" s="62"/>
      <c r="CB70" s="143"/>
      <c r="CC70" s="13">
        <f t="shared" si="39"/>
        <v>20</v>
      </c>
      <c r="CD70" s="62"/>
      <c r="CE70" s="143"/>
      <c r="CF70" s="13">
        <f t="shared" si="40"/>
        <v>20</v>
      </c>
      <c r="CG70" s="62"/>
      <c r="CH70" s="143"/>
      <c r="CI70" s="13">
        <f t="shared" ref="CI70:CI85" si="46">CF70+CG70-CH70</f>
        <v>20</v>
      </c>
      <c r="CJ70" s="62"/>
      <c r="CK70" s="143"/>
      <c r="CL70" s="13">
        <f t="shared" ref="CL70:CL85" si="47">CI70+CJ70-CK70</f>
        <v>20</v>
      </c>
      <c r="CM70" s="62"/>
      <c r="CN70" s="143"/>
      <c r="CO70" s="13">
        <f t="shared" si="41"/>
        <v>20</v>
      </c>
      <c r="CP70" s="62"/>
      <c r="CQ70" s="143"/>
      <c r="CR70" s="13">
        <f t="shared" ref="CR70:CR85" si="48">CO70+CP70-CQ70</f>
        <v>20</v>
      </c>
      <c r="CS70" s="62"/>
      <c r="CT70" s="143"/>
      <c r="CU70" s="14">
        <f t="shared" si="42"/>
        <v>20</v>
      </c>
      <c r="CV70" s="5">
        <f t="shared" si="43"/>
        <v>0</v>
      </c>
      <c r="CW70" s="4">
        <f t="shared" si="43"/>
        <v>0</v>
      </c>
      <c r="CX70" s="6">
        <f t="shared" si="44"/>
        <v>20</v>
      </c>
      <c r="CY70" s="162">
        <v>152</v>
      </c>
      <c r="CZ70" s="171">
        <f t="shared" si="45"/>
        <v>3040</v>
      </c>
      <c r="DB70" s="2">
        <f t="shared" ref="DB70:DB93" si="49">CU70</f>
        <v>20</v>
      </c>
      <c r="DC70" s="62"/>
      <c r="DD70" s="143"/>
      <c r="DE70" s="149">
        <f t="shared" si="35"/>
        <v>20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16</v>
      </c>
      <c r="G71" s="62"/>
      <c r="H71" s="143"/>
      <c r="I71" s="13">
        <f>F71+G71-H71</f>
        <v>16</v>
      </c>
      <c r="J71" s="62"/>
      <c r="K71" s="143"/>
      <c r="L71" s="13">
        <f>I71+J71-K71</f>
        <v>16</v>
      </c>
      <c r="M71" s="62"/>
      <c r="N71" s="143"/>
      <c r="O71" s="13">
        <f>L71+M71-N71</f>
        <v>16</v>
      </c>
      <c r="P71" s="62"/>
      <c r="Q71" s="143"/>
      <c r="R71" s="13">
        <f>O71+P71-Q71</f>
        <v>16</v>
      </c>
      <c r="S71" s="62"/>
      <c r="T71" s="143">
        <f>1</f>
        <v>1</v>
      </c>
      <c r="U71" s="13">
        <f>R71+S71-T71</f>
        <v>15</v>
      </c>
      <c r="V71" s="62"/>
      <c r="W71" s="143"/>
      <c r="X71" s="13">
        <f>U71+V71-W71</f>
        <v>15</v>
      </c>
      <c r="Y71" s="62"/>
      <c r="Z71" s="143"/>
      <c r="AA71" s="13">
        <f>X71+Y71-Z71</f>
        <v>15</v>
      </c>
      <c r="AB71" s="62"/>
      <c r="AC71" s="143"/>
      <c r="AD71" s="13">
        <f>AA71+AB71-AC71</f>
        <v>15</v>
      </c>
      <c r="AE71" s="62"/>
      <c r="AF71" s="143">
        <v>1</v>
      </c>
      <c r="AG71" s="13">
        <f>AD71+AE71-AF71</f>
        <v>14</v>
      </c>
      <c r="AH71" s="62"/>
      <c r="AI71" s="143"/>
      <c r="AJ71" s="13">
        <f>AG71+AH71-AI71</f>
        <v>14</v>
      </c>
      <c r="AK71" s="61"/>
      <c r="AL71" s="143"/>
      <c r="AM71" s="13">
        <f>AJ71+AK71-AL71</f>
        <v>14</v>
      </c>
      <c r="AN71" s="61"/>
      <c r="AO71" s="143"/>
      <c r="AP71" s="13">
        <f>AM71+AN71-AO71</f>
        <v>14</v>
      </c>
      <c r="AQ71" s="62"/>
      <c r="AR71" s="143"/>
      <c r="AS71" s="13">
        <f>AP71+AQ71-AR71</f>
        <v>14</v>
      </c>
      <c r="AT71" s="61"/>
      <c r="AU71" s="143"/>
      <c r="AV71" s="13">
        <f>AS71+AT71-AU71</f>
        <v>14</v>
      </c>
      <c r="AW71" s="62"/>
      <c r="AX71" s="143"/>
      <c r="AY71" s="13">
        <f>AV71+AW71-AX71</f>
        <v>14</v>
      </c>
      <c r="AZ71" s="62"/>
      <c r="BA71" s="143"/>
      <c r="BB71" s="13">
        <f>AY71+AZ71-BA71</f>
        <v>14</v>
      </c>
      <c r="BC71" s="62"/>
      <c r="BD71" s="143"/>
      <c r="BE71" s="13">
        <f>BB71+BC71-BD71</f>
        <v>14</v>
      </c>
      <c r="BF71" s="62"/>
      <c r="BG71" s="143"/>
      <c r="BH71" s="13">
        <f>BE71+BF71-BG71</f>
        <v>14</v>
      </c>
      <c r="BI71" s="62"/>
      <c r="BJ71" s="143"/>
      <c r="BK71" s="13">
        <f>BH71+BI71-BJ71</f>
        <v>14</v>
      </c>
      <c r="BL71" s="62"/>
      <c r="BM71" s="143"/>
      <c r="BN71" s="13">
        <f>BK71+BL71-BM71</f>
        <v>14</v>
      </c>
      <c r="BO71" s="62"/>
      <c r="BP71" s="143"/>
      <c r="BQ71" s="13">
        <f>BN71+BO71-BP71</f>
        <v>14</v>
      </c>
      <c r="BR71" s="62"/>
      <c r="BS71" s="143"/>
      <c r="BT71" s="13">
        <f t="shared" si="37"/>
        <v>14</v>
      </c>
      <c r="BU71" s="62"/>
      <c r="BV71" s="143"/>
      <c r="BW71" s="13">
        <f>BT71+BU71-BV71</f>
        <v>14</v>
      </c>
      <c r="BX71" s="62"/>
      <c r="BY71" s="143"/>
      <c r="BZ71" s="13">
        <f t="shared" si="38"/>
        <v>14</v>
      </c>
      <c r="CA71" s="62"/>
      <c r="CB71" s="143"/>
      <c r="CC71" s="13">
        <f t="shared" si="39"/>
        <v>14</v>
      </c>
      <c r="CD71" s="62"/>
      <c r="CE71" s="143">
        <f>1</f>
        <v>1</v>
      </c>
      <c r="CF71" s="13">
        <f t="shared" si="40"/>
        <v>13</v>
      </c>
      <c r="CG71" s="62"/>
      <c r="CH71" s="143"/>
      <c r="CI71" s="13">
        <f t="shared" si="46"/>
        <v>13</v>
      </c>
      <c r="CJ71" s="62"/>
      <c r="CK71" s="143">
        <v>1</v>
      </c>
      <c r="CL71" s="13">
        <f t="shared" si="47"/>
        <v>12</v>
      </c>
      <c r="CM71" s="62"/>
      <c r="CN71" s="143"/>
      <c r="CO71" s="13">
        <f t="shared" si="41"/>
        <v>12</v>
      </c>
      <c r="CP71" s="62"/>
      <c r="CQ71" s="143"/>
      <c r="CR71" s="13">
        <f t="shared" si="48"/>
        <v>12</v>
      </c>
      <c r="CS71" s="62"/>
      <c r="CT71" s="143"/>
      <c r="CU71" s="14">
        <f t="shared" si="42"/>
        <v>12</v>
      </c>
      <c r="CV71" s="5">
        <f t="shared" si="43"/>
        <v>0</v>
      </c>
      <c r="CW71" s="4">
        <f t="shared" si="43"/>
        <v>4</v>
      </c>
      <c r="CX71" s="6">
        <f t="shared" si="44"/>
        <v>12</v>
      </c>
      <c r="CY71" s="162">
        <v>194</v>
      </c>
      <c r="CZ71" s="171">
        <f t="shared" si="45"/>
        <v>2328</v>
      </c>
      <c r="DB71" s="2">
        <f t="shared" si="49"/>
        <v>12</v>
      </c>
      <c r="DC71" s="62"/>
      <c r="DD71" s="143"/>
      <c r="DE71" s="149">
        <f t="shared" ref="DE71:DE93" si="50">DC71+DB71-DD71</f>
        <v>12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4">
        <v>0</v>
      </c>
      <c r="G72" s="61"/>
      <c r="H72" s="199"/>
      <c r="I72" s="13">
        <f>F72+G72-H72</f>
        <v>0</v>
      </c>
      <c r="J72" s="61"/>
      <c r="K72" s="199"/>
      <c r="L72" s="13">
        <f>I72+J72-K72</f>
        <v>0</v>
      </c>
      <c r="M72" s="61"/>
      <c r="N72" s="199"/>
      <c r="O72" s="13">
        <f>L72+M72-N72</f>
        <v>0</v>
      </c>
      <c r="P72" s="61"/>
      <c r="Q72" s="199"/>
      <c r="R72" s="30">
        <f>O72+P72-Q72</f>
        <v>0</v>
      </c>
      <c r="S72" s="61"/>
      <c r="T72" s="199"/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/>
      <c r="AL72" s="199"/>
      <c r="AM72" s="13">
        <f>AJ72+AK72-AL72</f>
        <v>0</v>
      </c>
      <c r="AN72" s="61"/>
      <c r="AO72" s="199"/>
      <c r="AP72" s="13">
        <f>AM72+AN72-AO72</f>
        <v>0</v>
      </c>
      <c r="AQ72" s="61"/>
      <c r="AR72" s="199"/>
      <c r="AS72" s="13">
        <f>AP72+AQ72-AR72</f>
        <v>0</v>
      </c>
      <c r="AT72" s="61"/>
      <c r="AU72" s="199"/>
      <c r="AV72" s="13">
        <f>AS72+AT72-AU72</f>
        <v>0</v>
      </c>
      <c r="AW72" s="61"/>
      <c r="AX72" s="199"/>
      <c r="AY72" s="13">
        <f>AV72+AW72-AX72</f>
        <v>0</v>
      </c>
      <c r="AZ72" s="62"/>
      <c r="BA72" s="199"/>
      <c r="BB72" s="13">
        <f>AY72+AZ72-BA72</f>
        <v>0</v>
      </c>
      <c r="BC72" s="61"/>
      <c r="BD72" s="199"/>
      <c r="BE72" s="13">
        <f>BB72+BC72-BD72</f>
        <v>0</v>
      </c>
      <c r="BF72" s="62"/>
      <c r="BG72" s="199"/>
      <c r="BH72" s="13">
        <f>BE72+BF72-BG72</f>
        <v>0</v>
      </c>
      <c r="BI72" s="62"/>
      <c r="BJ72" s="199"/>
      <c r="BK72" s="13">
        <f>BH72+BI72-BJ72</f>
        <v>0</v>
      </c>
      <c r="BL72" s="61"/>
      <c r="BM72" s="199"/>
      <c r="BN72" s="13">
        <f>BK72+BL72-BM72</f>
        <v>0</v>
      </c>
      <c r="BO72" s="62"/>
      <c r="BP72" s="199"/>
      <c r="BQ72" s="13">
        <f>BN72+BO72-BP72</f>
        <v>0</v>
      </c>
      <c r="BR72" s="62"/>
      <c r="BS72" s="199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1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208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>
        <v>24</v>
      </c>
      <c r="K73" s="143"/>
      <c r="L73" s="13">
        <f t="shared" ref="L73:L77" si="52">I73+J73-K73</f>
        <v>24</v>
      </c>
      <c r="M73" s="62"/>
      <c r="N73" s="143"/>
      <c r="O73" s="13">
        <f t="shared" ref="O73:O77" si="53">L73+M73-N73</f>
        <v>24</v>
      </c>
      <c r="P73" s="62"/>
      <c r="Q73" s="143">
        <f>7</f>
        <v>7</v>
      </c>
      <c r="R73" s="30">
        <f t="shared" ref="R73:R77" si="54">O73+P73-Q73</f>
        <v>17</v>
      </c>
      <c r="S73" s="62"/>
      <c r="T73" s="143"/>
      <c r="U73" s="13">
        <f t="shared" ref="U73:U76" si="55">R73+S73-T73</f>
        <v>17</v>
      </c>
      <c r="V73" s="62"/>
      <c r="W73" s="143"/>
      <c r="X73" s="13">
        <f t="shared" ref="X73:X77" si="56">U73+V73-W73</f>
        <v>17</v>
      </c>
      <c r="Y73" s="62"/>
      <c r="Z73" s="143">
        <v>5</v>
      </c>
      <c r="AA73" s="13">
        <f t="shared" ref="AA73:AA93" si="57">X73+Y73-Z73</f>
        <v>12</v>
      </c>
      <c r="AB73" s="62"/>
      <c r="AC73" s="143"/>
      <c r="AD73" s="13">
        <f t="shared" ref="AD73:AD77" si="58">AA73+AB73-AC73</f>
        <v>12</v>
      </c>
      <c r="AE73" s="62"/>
      <c r="AF73" s="143"/>
      <c r="AG73" s="13">
        <f t="shared" ref="AG73:AG77" si="59">AD73+AE73-AF73</f>
        <v>12</v>
      </c>
      <c r="AH73" s="62"/>
      <c r="AI73" s="143"/>
      <c r="AJ73" s="13">
        <f t="shared" ref="AJ73:AJ77" si="60">AG73+AH73-AI73</f>
        <v>12</v>
      </c>
      <c r="AK73" s="61"/>
      <c r="AL73" s="143"/>
      <c r="AM73" s="13">
        <f t="shared" ref="AM73:AM77" si="61">AJ73+AK73-AL73</f>
        <v>12</v>
      </c>
      <c r="AN73" s="61"/>
      <c r="AO73" s="143">
        <v>5</v>
      </c>
      <c r="AP73" s="13">
        <f t="shared" ref="AP73:AP77" si="62">AM73+AN73-AO73</f>
        <v>7</v>
      </c>
      <c r="AQ73" s="62"/>
      <c r="AR73" s="143"/>
      <c r="AS73" s="13">
        <f t="shared" ref="AS73:AS77" si="63">AP73+AQ73-AR73</f>
        <v>7</v>
      </c>
      <c r="AT73" s="61"/>
      <c r="AU73" s="143"/>
      <c r="AV73" s="13">
        <f t="shared" ref="AV73:AV77" si="64">AS73+AT73-AU73</f>
        <v>7</v>
      </c>
      <c r="AW73" s="62"/>
      <c r="AX73" s="143"/>
      <c r="AY73" s="13">
        <f t="shared" ref="AY73:AY77" si="65">AV73+AW73-AX73</f>
        <v>7</v>
      </c>
      <c r="AZ73" s="62"/>
      <c r="BA73" s="143"/>
      <c r="BB73" s="13">
        <f t="shared" ref="BB73:BB77" si="66">AY73+AZ73-BA73</f>
        <v>7</v>
      </c>
      <c r="BC73" s="62"/>
      <c r="BD73" s="143"/>
      <c r="BE73" s="13">
        <f t="shared" ref="BE73:BE77" si="67">BB73+BC73-BD73</f>
        <v>7</v>
      </c>
      <c r="BF73" s="62"/>
      <c r="BG73" s="143">
        <v>7</v>
      </c>
      <c r="BH73" s="13">
        <f t="shared" ref="BH73:BH77" si="68">BE73+BF73-BG73</f>
        <v>0</v>
      </c>
      <c r="BI73" s="62">
        <v>32</v>
      </c>
      <c r="BJ73" s="143"/>
      <c r="BK73" s="13">
        <f t="shared" ref="BK73:BK77" si="69">BH73+BI73-BJ73</f>
        <v>32</v>
      </c>
      <c r="BL73" s="62"/>
      <c r="BM73" s="143">
        <v>9</v>
      </c>
      <c r="BN73" s="13">
        <f t="shared" ref="BN73:BN77" si="70">BK73+BL73-BM73</f>
        <v>23</v>
      </c>
      <c r="BO73" s="62"/>
      <c r="BP73" s="143"/>
      <c r="BQ73" s="13">
        <f t="shared" ref="BQ73:BQ77" si="71">BN73+BO73-BP73</f>
        <v>23</v>
      </c>
      <c r="BR73" s="62"/>
      <c r="BS73" s="143"/>
      <c r="BT73" s="13">
        <f t="shared" si="37"/>
        <v>23</v>
      </c>
      <c r="BU73" s="62"/>
      <c r="BV73" s="143"/>
      <c r="BW73" s="13">
        <f t="shared" ref="BW73:BW77" si="72">BT73+BU73-BV73</f>
        <v>23</v>
      </c>
      <c r="BX73" s="62"/>
      <c r="BY73" s="143"/>
      <c r="BZ73" s="13">
        <f t="shared" si="38"/>
        <v>23</v>
      </c>
      <c r="CA73" s="62"/>
      <c r="CB73" s="143">
        <v>7</v>
      </c>
      <c r="CC73" s="13">
        <f t="shared" si="39"/>
        <v>16</v>
      </c>
      <c r="CD73" s="62"/>
      <c r="CE73" s="143"/>
      <c r="CF73" s="13">
        <f t="shared" si="40"/>
        <v>16</v>
      </c>
      <c r="CG73" s="62"/>
      <c r="CH73" s="143">
        <v>9</v>
      </c>
      <c r="CI73" s="13">
        <f t="shared" si="46"/>
        <v>7</v>
      </c>
      <c r="CJ73" s="62"/>
      <c r="CK73" s="143"/>
      <c r="CL73" s="13">
        <f t="shared" si="47"/>
        <v>7</v>
      </c>
      <c r="CM73" s="62"/>
      <c r="CN73" s="143"/>
      <c r="CO73" s="13">
        <f t="shared" si="41"/>
        <v>7</v>
      </c>
      <c r="CP73" s="62"/>
      <c r="CQ73" s="143"/>
      <c r="CR73" s="13">
        <f t="shared" si="48"/>
        <v>7</v>
      </c>
      <c r="CS73" s="62"/>
      <c r="CT73" s="143"/>
      <c r="CU73" s="14">
        <f t="shared" si="42"/>
        <v>7</v>
      </c>
      <c r="CV73" s="5">
        <f t="shared" si="43"/>
        <v>56</v>
      </c>
      <c r="CW73" s="4">
        <f t="shared" si="43"/>
        <v>49</v>
      </c>
      <c r="CX73" s="6">
        <f t="shared" si="44"/>
        <v>7</v>
      </c>
      <c r="CY73" s="162">
        <v>197</v>
      </c>
      <c r="CZ73" s="171">
        <f t="shared" si="45"/>
        <v>1379</v>
      </c>
      <c r="DB73" s="2">
        <f t="shared" si="49"/>
        <v>7</v>
      </c>
      <c r="DC73" s="62"/>
      <c r="DD73" s="143"/>
      <c r="DE73" s="149">
        <f t="shared" si="50"/>
        <v>7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3</v>
      </c>
      <c r="G74" s="62"/>
      <c r="H74" s="143"/>
      <c r="I74" s="13">
        <f t="shared" si="51"/>
        <v>3</v>
      </c>
      <c r="J74" s="62"/>
      <c r="K74" s="143"/>
      <c r="L74" s="13">
        <f t="shared" si="52"/>
        <v>3</v>
      </c>
      <c r="M74" s="62"/>
      <c r="N74" s="143"/>
      <c r="O74" s="13">
        <f t="shared" si="53"/>
        <v>3</v>
      </c>
      <c r="P74" s="62"/>
      <c r="Q74" s="143"/>
      <c r="R74" s="30">
        <f t="shared" si="54"/>
        <v>3</v>
      </c>
      <c r="S74" s="62"/>
      <c r="T74" s="143"/>
      <c r="U74" s="13">
        <f t="shared" si="55"/>
        <v>3</v>
      </c>
      <c r="V74" s="62"/>
      <c r="W74" s="143"/>
      <c r="X74" s="13">
        <f t="shared" si="56"/>
        <v>3</v>
      </c>
      <c r="Y74" s="62"/>
      <c r="Z74" s="143"/>
      <c r="AA74" s="13">
        <f t="shared" si="57"/>
        <v>3</v>
      </c>
      <c r="AB74" s="62"/>
      <c r="AC74" s="143"/>
      <c r="AD74" s="13">
        <f t="shared" si="58"/>
        <v>3</v>
      </c>
      <c r="AE74" s="62"/>
      <c r="AF74" s="143">
        <v>1</v>
      </c>
      <c r="AG74" s="13">
        <f t="shared" si="59"/>
        <v>2</v>
      </c>
      <c r="AH74" s="62"/>
      <c r="AI74" s="143"/>
      <c r="AJ74" s="13">
        <f t="shared" si="60"/>
        <v>2</v>
      </c>
      <c r="AK74" s="61"/>
      <c r="AL74" s="143"/>
      <c r="AM74" s="13">
        <f t="shared" si="61"/>
        <v>2</v>
      </c>
      <c r="AN74" s="61"/>
      <c r="AO74" s="143"/>
      <c r="AP74" s="13">
        <f t="shared" si="62"/>
        <v>2</v>
      </c>
      <c r="AQ74" s="61"/>
      <c r="AR74" s="143"/>
      <c r="AS74" s="13">
        <f t="shared" si="63"/>
        <v>2</v>
      </c>
      <c r="AT74" s="61"/>
      <c r="AU74" s="143"/>
      <c r="AV74" s="13">
        <f t="shared" si="64"/>
        <v>2</v>
      </c>
      <c r="AW74" s="62"/>
      <c r="AX74" s="143"/>
      <c r="AY74" s="13">
        <f t="shared" si="65"/>
        <v>2</v>
      </c>
      <c r="AZ74" s="62"/>
      <c r="BA74" s="143"/>
      <c r="BB74" s="13">
        <f t="shared" si="66"/>
        <v>2</v>
      </c>
      <c r="BC74" s="62"/>
      <c r="BD74" s="143"/>
      <c r="BE74" s="13">
        <f t="shared" si="67"/>
        <v>2</v>
      </c>
      <c r="BF74" s="62"/>
      <c r="BG74" s="143"/>
      <c r="BH74" s="13">
        <f t="shared" si="68"/>
        <v>2</v>
      </c>
      <c r="BI74" s="62"/>
      <c r="BJ74" s="143"/>
      <c r="BK74" s="13">
        <f t="shared" si="69"/>
        <v>2</v>
      </c>
      <c r="BL74" s="62"/>
      <c r="BM74" s="143"/>
      <c r="BN74" s="13">
        <f t="shared" si="70"/>
        <v>2</v>
      </c>
      <c r="BO74" s="62"/>
      <c r="BP74" s="143"/>
      <c r="BQ74" s="13">
        <f t="shared" si="71"/>
        <v>2</v>
      </c>
      <c r="BR74" s="62"/>
      <c r="BS74" s="143"/>
      <c r="BT74" s="13">
        <f t="shared" si="37"/>
        <v>2</v>
      </c>
      <c r="BU74" s="62"/>
      <c r="BV74" s="143"/>
      <c r="BW74" s="13">
        <f t="shared" si="72"/>
        <v>2</v>
      </c>
      <c r="BX74" s="62"/>
      <c r="BY74" s="143"/>
      <c r="BZ74" s="13">
        <f t="shared" si="38"/>
        <v>2</v>
      </c>
      <c r="CA74" s="62"/>
      <c r="CB74" s="143"/>
      <c r="CC74" s="13">
        <f t="shared" si="39"/>
        <v>2</v>
      </c>
      <c r="CD74" s="62"/>
      <c r="CE74" s="190">
        <v>2</v>
      </c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3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2</v>
      </c>
      <c r="G75" s="62">
        <f>-28+40</f>
        <v>12</v>
      </c>
      <c r="H75" s="143">
        <f>2</f>
        <v>2</v>
      </c>
      <c r="I75" s="13">
        <f t="shared" si="51"/>
        <v>12</v>
      </c>
      <c r="J75" s="62">
        <f>-41+52</f>
        <v>11</v>
      </c>
      <c r="K75" s="143">
        <f>5+6+1</f>
        <v>12</v>
      </c>
      <c r="L75" s="13">
        <f>I75+J75-K75</f>
        <v>11</v>
      </c>
      <c r="M75" s="62"/>
      <c r="N75" s="143"/>
      <c r="O75" s="13">
        <f t="shared" si="53"/>
        <v>11</v>
      </c>
      <c r="P75" s="62">
        <f>-2+12</f>
        <v>10</v>
      </c>
      <c r="Q75" s="143">
        <f>3+8</f>
        <v>11</v>
      </c>
      <c r="R75" s="30">
        <f t="shared" si="54"/>
        <v>10</v>
      </c>
      <c r="S75" s="62">
        <f>-25+36</f>
        <v>11</v>
      </c>
      <c r="T75" s="143">
        <f>3+7</f>
        <v>10</v>
      </c>
      <c r="U75" s="13">
        <f t="shared" si="55"/>
        <v>11</v>
      </c>
      <c r="V75" s="62"/>
      <c r="W75" s="143"/>
      <c r="X75" s="13">
        <f t="shared" si="56"/>
        <v>11</v>
      </c>
      <c r="Y75" s="62">
        <f>-15+24</f>
        <v>9</v>
      </c>
      <c r="Z75" s="143">
        <f>1+8+2</f>
        <v>11</v>
      </c>
      <c r="AA75" s="13">
        <f t="shared" si="57"/>
        <v>9</v>
      </c>
      <c r="AB75" s="62">
        <f>-17+34</f>
        <v>17</v>
      </c>
      <c r="AC75" s="143">
        <f>2+1+5+1</f>
        <v>9</v>
      </c>
      <c r="AD75" s="13">
        <f t="shared" si="58"/>
        <v>17</v>
      </c>
      <c r="AE75" s="62">
        <f>-34+80</f>
        <v>46</v>
      </c>
      <c r="AF75" s="143">
        <f>6+11</f>
        <v>17</v>
      </c>
      <c r="AG75" s="13">
        <f t="shared" si="59"/>
        <v>46</v>
      </c>
      <c r="AH75" s="62"/>
      <c r="AI75" s="143"/>
      <c r="AJ75" s="13">
        <f t="shared" si="60"/>
        <v>46</v>
      </c>
      <c r="AK75" s="61">
        <v>35</v>
      </c>
      <c r="AL75" s="143">
        <f>2+30+2</f>
        <v>34</v>
      </c>
      <c r="AM75" s="13">
        <f t="shared" si="61"/>
        <v>47</v>
      </c>
      <c r="AN75" s="61">
        <v>25</v>
      </c>
      <c r="AO75" s="143">
        <f>6+40+1</f>
        <v>47</v>
      </c>
      <c r="AP75" s="13">
        <f t="shared" si="62"/>
        <v>25</v>
      </c>
      <c r="AQ75" s="61">
        <v>30</v>
      </c>
      <c r="AR75" s="143"/>
      <c r="AS75" s="13">
        <f t="shared" si="63"/>
        <v>55</v>
      </c>
      <c r="AT75" s="61">
        <f>5+3</f>
        <v>8</v>
      </c>
      <c r="AU75" s="143">
        <f>3+22</f>
        <v>25</v>
      </c>
      <c r="AV75" s="13">
        <f t="shared" si="64"/>
        <v>38</v>
      </c>
      <c r="AW75" s="62"/>
      <c r="AX75" s="143">
        <f>4+26+1</f>
        <v>31</v>
      </c>
      <c r="AY75" s="13">
        <f t="shared" si="65"/>
        <v>7</v>
      </c>
      <c r="AZ75" s="62">
        <f>-38+46</f>
        <v>8</v>
      </c>
      <c r="BA75" s="143">
        <f>5+2</f>
        <v>7</v>
      </c>
      <c r="BB75" s="13">
        <f t="shared" si="66"/>
        <v>8</v>
      </c>
      <c r="BC75" s="62"/>
      <c r="BD75" s="143"/>
      <c r="BE75" s="13">
        <f t="shared" si="67"/>
        <v>8</v>
      </c>
      <c r="BF75" s="62">
        <f>-22+32</f>
        <v>10</v>
      </c>
      <c r="BG75" s="143">
        <f>2+6</f>
        <v>8</v>
      </c>
      <c r="BH75" s="13">
        <f t="shared" si="68"/>
        <v>10</v>
      </c>
      <c r="BI75" s="62">
        <f>-22+30</f>
        <v>8</v>
      </c>
      <c r="BJ75" s="143">
        <f>4+6</f>
        <v>10</v>
      </c>
      <c r="BK75" s="13">
        <f t="shared" si="69"/>
        <v>8</v>
      </c>
      <c r="BL75" s="62"/>
      <c r="BM75" s="143"/>
      <c r="BN75" s="13">
        <f t="shared" si="70"/>
        <v>8</v>
      </c>
      <c r="BO75" s="62">
        <f>-10+18</f>
        <v>8</v>
      </c>
      <c r="BP75" s="143">
        <f>2+5+1</f>
        <v>8</v>
      </c>
      <c r="BQ75" s="13">
        <f t="shared" si="71"/>
        <v>8</v>
      </c>
      <c r="BR75" s="62">
        <f>-16+28</f>
        <v>12</v>
      </c>
      <c r="BS75" s="143">
        <f>2+3+3</f>
        <v>8</v>
      </c>
      <c r="BT75" s="13">
        <f t="shared" si="37"/>
        <v>12</v>
      </c>
      <c r="BU75" s="62">
        <f>-40+50</f>
        <v>10</v>
      </c>
      <c r="BV75" s="143">
        <f>4+8</f>
        <v>12</v>
      </c>
      <c r="BW75" s="13">
        <f t="shared" si="72"/>
        <v>10</v>
      </c>
      <c r="BX75" s="62"/>
      <c r="BY75" s="143"/>
      <c r="BZ75" s="13">
        <f t="shared" si="38"/>
        <v>10</v>
      </c>
      <c r="CA75" s="62">
        <f>-7+16</f>
        <v>9</v>
      </c>
      <c r="CB75" s="143">
        <f>2+8</f>
        <v>10</v>
      </c>
      <c r="CC75" s="13">
        <f t="shared" si="39"/>
        <v>9</v>
      </c>
      <c r="CD75" s="62">
        <f>-21+28</f>
        <v>7</v>
      </c>
      <c r="CE75" s="143">
        <f>2+7</f>
        <v>9</v>
      </c>
      <c r="CF75" s="13">
        <f t="shared" si="40"/>
        <v>7</v>
      </c>
      <c r="CG75" s="62"/>
      <c r="CH75" s="143"/>
      <c r="CI75" s="13">
        <f t="shared" si="46"/>
        <v>7</v>
      </c>
      <c r="CJ75" s="62">
        <f>-13+20</f>
        <v>7</v>
      </c>
      <c r="CK75" s="143">
        <f>2+4+1</f>
        <v>7</v>
      </c>
      <c r="CL75" s="13">
        <f t="shared" si="47"/>
        <v>7</v>
      </c>
      <c r="CM75" s="62">
        <f>-20+30</f>
        <v>10</v>
      </c>
      <c r="CN75" s="143">
        <f>2+5</f>
        <v>7</v>
      </c>
      <c r="CO75" s="13">
        <f t="shared" si="41"/>
        <v>10</v>
      </c>
      <c r="CP75" s="62">
        <f>-50+60</f>
        <v>10</v>
      </c>
      <c r="CQ75" s="143">
        <f>2+8</f>
        <v>10</v>
      </c>
      <c r="CR75" s="13">
        <f t="shared" si="48"/>
        <v>10</v>
      </c>
      <c r="CS75" s="62"/>
      <c r="CT75" s="143"/>
      <c r="CU75" s="14">
        <f t="shared" si="42"/>
        <v>10</v>
      </c>
      <c r="CV75" s="5">
        <f t="shared" si="43"/>
        <v>313</v>
      </c>
      <c r="CW75" s="4">
        <f t="shared" si="43"/>
        <v>305</v>
      </c>
      <c r="CX75" s="6">
        <f t="shared" si="44"/>
        <v>10</v>
      </c>
      <c r="CY75" s="162">
        <v>650</v>
      </c>
      <c r="CZ75" s="171">
        <f t="shared" si="45"/>
        <v>6500</v>
      </c>
      <c r="DB75" s="2">
        <f t="shared" si="49"/>
        <v>10</v>
      </c>
      <c r="DC75" s="62"/>
      <c r="DD75" s="143"/>
      <c r="DE75" s="149">
        <f t="shared" si="50"/>
        <v>10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1"/>
      <c r="AL76" s="143"/>
      <c r="AM76" s="13">
        <f t="shared" si="61"/>
        <v>0</v>
      </c>
      <c r="AN76" s="61"/>
      <c r="AO76" s="143"/>
      <c r="AP76" s="13">
        <f t="shared" si="62"/>
        <v>0</v>
      </c>
      <c r="AQ76" s="61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/>
      <c r="BM76" s="143"/>
      <c r="BN76" s="13">
        <f t="shared" si="70"/>
        <v>0</v>
      </c>
      <c r="BO76" s="62"/>
      <c r="BP76" s="143"/>
      <c r="BQ76" s="13">
        <f t="shared" si="71"/>
        <v>0</v>
      </c>
      <c r="BR76" s="62"/>
      <c r="BS76" s="143"/>
      <c r="BT76" s="13">
        <f t="shared" si="37"/>
        <v>0</v>
      </c>
      <c r="BU76" s="62"/>
      <c r="BV76" s="143"/>
      <c r="BW76" s="13">
        <f t="shared" si="72"/>
        <v>0</v>
      </c>
      <c r="BX76" s="62"/>
      <c r="BY76" s="143"/>
      <c r="BZ76" s="13">
        <f t="shared" si="38"/>
        <v>0</v>
      </c>
      <c r="CA76" s="62"/>
      <c r="CB76" s="143"/>
      <c r="CC76" s="13">
        <f t="shared" si="39"/>
        <v>0</v>
      </c>
      <c r="CD76" s="62"/>
      <c r="CE76" s="143"/>
      <c r="CF76" s="13">
        <f t="shared" si="40"/>
        <v>0</v>
      </c>
      <c r="CG76" s="62"/>
      <c r="CH76" s="143"/>
      <c r="CI76" s="13">
        <f t="shared" si="46"/>
        <v>0</v>
      </c>
      <c r="CJ76" s="62"/>
      <c r="CK76" s="143"/>
      <c r="CL76" s="13">
        <f t="shared" si="47"/>
        <v>0</v>
      </c>
      <c r="CM76" s="62"/>
      <c r="CN76" s="143"/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0</v>
      </c>
      <c r="CW76" s="4">
        <f t="shared" si="43"/>
        <v>0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0</v>
      </c>
      <c r="G77" s="62">
        <f>-6+36</f>
        <v>30</v>
      </c>
      <c r="H77" s="143">
        <f>1+1</f>
        <v>2</v>
      </c>
      <c r="I77" s="13">
        <f>F77+G77-H77</f>
        <v>28</v>
      </c>
      <c r="J77" s="62"/>
      <c r="K77" s="143">
        <f>6+1</f>
        <v>7</v>
      </c>
      <c r="L77" s="13">
        <f t="shared" si="52"/>
        <v>21</v>
      </c>
      <c r="M77" s="62"/>
      <c r="N77" s="143"/>
      <c r="O77" s="13">
        <f t="shared" si="53"/>
        <v>21</v>
      </c>
      <c r="P77" s="62">
        <f>-11+36</f>
        <v>25</v>
      </c>
      <c r="Q77" s="143">
        <f>13+6+2</f>
        <v>21</v>
      </c>
      <c r="R77" s="30">
        <f t="shared" si="54"/>
        <v>25</v>
      </c>
      <c r="S77" s="62">
        <v>36</v>
      </c>
      <c r="T77" s="143">
        <f>9+6+2</f>
        <v>17</v>
      </c>
      <c r="U77" s="13">
        <f>R77+S77-T77</f>
        <v>44</v>
      </c>
      <c r="V77" s="62"/>
      <c r="W77" s="143">
        <f>9+1+4</f>
        <v>14</v>
      </c>
      <c r="X77" s="13">
        <f t="shared" si="56"/>
        <v>30</v>
      </c>
      <c r="Y77" s="62"/>
      <c r="Z77" s="143">
        <f>9+6</f>
        <v>15</v>
      </c>
      <c r="AA77" s="13">
        <f t="shared" si="57"/>
        <v>15</v>
      </c>
      <c r="AB77" s="62">
        <v>36</v>
      </c>
      <c r="AC77" s="143">
        <f>5+1+2</f>
        <v>8</v>
      </c>
      <c r="AD77" s="13">
        <f t="shared" si="58"/>
        <v>43</v>
      </c>
      <c r="AE77" s="62"/>
      <c r="AF77" s="143"/>
      <c r="AG77" s="13">
        <f t="shared" si="59"/>
        <v>43</v>
      </c>
      <c r="AH77" s="62"/>
      <c r="AI77" s="143"/>
      <c r="AJ77" s="13">
        <f t="shared" si="60"/>
        <v>43</v>
      </c>
      <c r="AK77" s="61"/>
      <c r="AL77" s="143">
        <f>3</f>
        <v>3</v>
      </c>
      <c r="AM77" s="13">
        <f t="shared" si="61"/>
        <v>40</v>
      </c>
      <c r="AN77" s="61"/>
      <c r="AO77" s="143">
        <f>4+11+4+4+3</f>
        <v>26</v>
      </c>
      <c r="AP77" s="13">
        <f t="shared" si="62"/>
        <v>14</v>
      </c>
      <c r="AQ77" s="61"/>
      <c r="AR77" s="143">
        <f>5+1</f>
        <v>6</v>
      </c>
      <c r="AS77" s="13">
        <f t="shared" si="63"/>
        <v>8</v>
      </c>
      <c r="AT77" s="62">
        <f>36-7</f>
        <v>29</v>
      </c>
      <c r="AU77" s="143">
        <f>5+1+2</f>
        <v>8</v>
      </c>
      <c r="AV77" s="13">
        <f t="shared" si="64"/>
        <v>29</v>
      </c>
      <c r="AW77" s="62"/>
      <c r="AX77" s="143">
        <f>5+1</f>
        <v>6</v>
      </c>
      <c r="AY77" s="13">
        <f t="shared" si="65"/>
        <v>23</v>
      </c>
      <c r="AZ77" s="62"/>
      <c r="BA77" s="143">
        <f>6+2</f>
        <v>8</v>
      </c>
      <c r="BB77" s="13">
        <f t="shared" si="66"/>
        <v>15</v>
      </c>
      <c r="BC77" s="62"/>
      <c r="BD77" s="143"/>
      <c r="BE77" s="13">
        <f t="shared" si="67"/>
        <v>15</v>
      </c>
      <c r="BF77" s="62">
        <v>36</v>
      </c>
      <c r="BG77" s="143">
        <f>13+18+6</f>
        <v>37</v>
      </c>
      <c r="BH77" s="13">
        <f t="shared" si="68"/>
        <v>14</v>
      </c>
      <c r="BI77" s="62">
        <v>36</v>
      </c>
      <c r="BJ77" s="143">
        <f>3+6</f>
        <v>9</v>
      </c>
      <c r="BK77" s="13">
        <f t="shared" si="69"/>
        <v>41</v>
      </c>
      <c r="BL77" s="62"/>
      <c r="BM77" s="143">
        <f>9+5+9</f>
        <v>23</v>
      </c>
      <c r="BN77" s="13">
        <f t="shared" si="70"/>
        <v>18</v>
      </c>
      <c r="BO77" s="62"/>
      <c r="BP77" s="143">
        <f>9+1</f>
        <v>10</v>
      </c>
      <c r="BQ77" s="13">
        <f t="shared" si="71"/>
        <v>8</v>
      </c>
      <c r="BR77" s="62">
        <v>36</v>
      </c>
      <c r="BS77" s="143">
        <f>4+1</f>
        <v>5</v>
      </c>
      <c r="BT77" s="13">
        <f t="shared" si="37"/>
        <v>39</v>
      </c>
      <c r="BU77" s="62"/>
      <c r="BV77" s="143">
        <f>8</f>
        <v>8</v>
      </c>
      <c r="BW77" s="13">
        <f t="shared" si="72"/>
        <v>31</v>
      </c>
      <c r="BX77" s="62"/>
      <c r="BY77" s="143"/>
      <c r="BZ77" s="13">
        <f t="shared" si="38"/>
        <v>31</v>
      </c>
      <c r="CA77" s="62">
        <v>36</v>
      </c>
      <c r="CB77" s="143">
        <f>8+7+12</f>
        <v>27</v>
      </c>
      <c r="CC77" s="13">
        <f t="shared" si="39"/>
        <v>40</v>
      </c>
      <c r="CD77" s="62"/>
      <c r="CE77" s="143">
        <f>8+6</f>
        <v>14</v>
      </c>
      <c r="CF77" s="13">
        <f t="shared" si="40"/>
        <v>26</v>
      </c>
      <c r="CG77" s="62">
        <v>36</v>
      </c>
      <c r="CH77" s="143">
        <f>8+6+12</f>
        <v>26</v>
      </c>
      <c r="CI77" s="13">
        <f t="shared" si="46"/>
        <v>36</v>
      </c>
      <c r="CJ77" s="62"/>
      <c r="CK77" s="143">
        <f>8</f>
        <v>8</v>
      </c>
      <c r="CL77" s="13">
        <f t="shared" si="47"/>
        <v>28</v>
      </c>
      <c r="CM77" s="62"/>
      <c r="CN77" s="143">
        <f>8</f>
        <v>8</v>
      </c>
      <c r="CO77" s="13">
        <f t="shared" si="41"/>
        <v>20</v>
      </c>
      <c r="CP77" s="62"/>
      <c r="CQ77" s="143">
        <f>6+2</f>
        <v>8</v>
      </c>
      <c r="CR77" s="13">
        <f t="shared" si="48"/>
        <v>12</v>
      </c>
      <c r="CS77" s="62"/>
      <c r="CT77" s="143"/>
      <c r="CU77" s="14">
        <f t="shared" si="42"/>
        <v>12</v>
      </c>
      <c r="CV77" s="5">
        <f t="shared" si="43"/>
        <v>336</v>
      </c>
      <c r="CW77" s="4">
        <f t="shared" si="43"/>
        <v>324</v>
      </c>
      <c r="CX77" s="6">
        <f t="shared" si="44"/>
        <v>12</v>
      </c>
      <c r="CY77" s="162">
        <v>205</v>
      </c>
      <c r="CZ77" s="171">
        <f t="shared" si="45"/>
        <v>2460</v>
      </c>
      <c r="DB77" s="2">
        <f t="shared" si="49"/>
        <v>12</v>
      </c>
      <c r="DC77" s="62"/>
      <c r="DD77" s="143"/>
      <c r="DE77" s="149">
        <f t="shared" si="50"/>
        <v>12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1"/>
      <c r="AL78" s="143"/>
      <c r="AM78" s="13">
        <f>AJ78+AK78-AL78</f>
        <v>0</v>
      </c>
      <c r="AN78" s="61"/>
      <c r="AO78" s="143"/>
      <c r="AP78" s="13">
        <f>AM78+AN78-AO78</f>
        <v>0</v>
      </c>
      <c r="AQ78" s="61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1"/>
      <c r="AO79" s="143"/>
      <c r="AP79" s="13">
        <f t="shared" ref="AP79:AP93" si="84">AM79+AN79-AO79</f>
        <v>0</v>
      </c>
      <c r="AQ79" s="61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3</v>
      </c>
      <c r="G80" s="62">
        <v>12</v>
      </c>
      <c r="H80" s="143">
        <f>3+3</f>
        <v>6</v>
      </c>
      <c r="I80" s="13">
        <f t="shared" si="73"/>
        <v>9</v>
      </c>
      <c r="J80" s="62"/>
      <c r="K80" s="143"/>
      <c r="L80" s="13">
        <f t="shared" si="74"/>
        <v>9</v>
      </c>
      <c r="M80" s="62"/>
      <c r="N80" s="143"/>
      <c r="O80" s="13">
        <f t="shared" si="75"/>
        <v>9</v>
      </c>
      <c r="P80" s="62"/>
      <c r="Q80" s="143"/>
      <c r="R80" s="30">
        <f t="shared" si="76"/>
        <v>9</v>
      </c>
      <c r="S80" s="62">
        <v>18</v>
      </c>
      <c r="T80" s="143"/>
      <c r="U80" s="13">
        <f t="shared" si="77"/>
        <v>27</v>
      </c>
      <c r="V80" s="62"/>
      <c r="W80" s="143">
        <v>2</v>
      </c>
      <c r="X80" s="30">
        <f t="shared" si="78"/>
        <v>25</v>
      </c>
      <c r="Y80" s="62"/>
      <c r="Z80" s="143">
        <f>3</f>
        <v>3</v>
      </c>
      <c r="AA80" s="13">
        <f t="shared" si="79"/>
        <v>22</v>
      </c>
      <c r="AB80" s="62"/>
      <c r="AC80" s="143">
        <f>1</f>
        <v>1</v>
      </c>
      <c r="AD80" s="13">
        <f t="shared" si="80"/>
        <v>21</v>
      </c>
      <c r="AE80" s="62"/>
      <c r="AF80" s="143">
        <v>1</v>
      </c>
      <c r="AG80" s="13">
        <f t="shared" si="81"/>
        <v>20</v>
      </c>
      <c r="AH80" s="62"/>
      <c r="AI80" s="143"/>
      <c r="AJ80" s="13">
        <f t="shared" si="82"/>
        <v>20</v>
      </c>
      <c r="AK80" s="62"/>
      <c r="AL80" s="143"/>
      <c r="AM80" s="13">
        <f t="shared" si="83"/>
        <v>20</v>
      </c>
      <c r="AN80" s="62"/>
      <c r="AO80" s="143"/>
      <c r="AP80" s="13">
        <f t="shared" si="84"/>
        <v>20</v>
      </c>
      <c r="AQ80" s="61"/>
      <c r="AR80" s="143"/>
      <c r="AS80" s="13">
        <f t="shared" si="85"/>
        <v>20</v>
      </c>
      <c r="AT80" s="62"/>
      <c r="AU80" s="143">
        <v>3</v>
      </c>
      <c r="AV80" s="13">
        <f t="shared" si="86"/>
        <v>17</v>
      </c>
      <c r="AW80" s="62"/>
      <c r="AX80" s="143">
        <f>3+3+3</f>
        <v>9</v>
      </c>
      <c r="AY80" s="13">
        <f t="shared" si="87"/>
        <v>8</v>
      </c>
      <c r="AZ80" s="62"/>
      <c r="BA80" s="143"/>
      <c r="BB80" s="13">
        <f t="shared" si="88"/>
        <v>8</v>
      </c>
      <c r="BC80" s="62"/>
      <c r="BD80" s="143"/>
      <c r="BE80" s="13">
        <f t="shared" si="89"/>
        <v>8</v>
      </c>
      <c r="BF80" s="62"/>
      <c r="BG80" s="143"/>
      <c r="BH80" s="13">
        <f t="shared" si="90"/>
        <v>8</v>
      </c>
      <c r="BI80" s="62"/>
      <c r="BJ80" s="143"/>
      <c r="BK80" s="13">
        <f t="shared" si="91"/>
        <v>8</v>
      </c>
      <c r="BL80" s="62"/>
      <c r="BM80" s="143"/>
      <c r="BN80" s="13">
        <f t="shared" si="92"/>
        <v>8</v>
      </c>
      <c r="BO80" s="62"/>
      <c r="BP80" s="143">
        <v>3</v>
      </c>
      <c r="BQ80" s="13">
        <f t="shared" si="93"/>
        <v>5</v>
      </c>
      <c r="BR80" s="62">
        <v>12</v>
      </c>
      <c r="BS80" s="143">
        <f>4+2</f>
        <v>6</v>
      </c>
      <c r="BT80" s="13">
        <f t="shared" si="37"/>
        <v>11</v>
      </c>
      <c r="BU80" s="62"/>
      <c r="BV80" s="143"/>
      <c r="BW80" s="13">
        <f t="shared" si="94"/>
        <v>11</v>
      </c>
      <c r="BX80" s="62"/>
      <c r="BY80" s="143"/>
      <c r="BZ80" s="13">
        <f t="shared" si="38"/>
        <v>11</v>
      </c>
      <c r="CA80" s="62"/>
      <c r="CB80" s="143"/>
      <c r="CC80" s="13">
        <f t="shared" si="39"/>
        <v>11</v>
      </c>
      <c r="CD80" s="62"/>
      <c r="CE80" s="143"/>
      <c r="CF80" s="13">
        <f t="shared" si="40"/>
        <v>11</v>
      </c>
      <c r="CG80" s="62"/>
      <c r="CH80" s="143"/>
      <c r="CI80" s="13">
        <f t="shared" si="46"/>
        <v>11</v>
      </c>
      <c r="CJ80" s="62"/>
      <c r="CK80" s="143">
        <f>1+3</f>
        <v>4</v>
      </c>
      <c r="CL80" s="13">
        <f t="shared" si="47"/>
        <v>7</v>
      </c>
      <c r="CM80" s="62">
        <f>-3+6</f>
        <v>3</v>
      </c>
      <c r="CN80" s="143">
        <f>4+3</f>
        <v>7</v>
      </c>
      <c r="CO80" s="13">
        <f t="shared" si="41"/>
        <v>3</v>
      </c>
      <c r="CP80" s="62"/>
      <c r="CQ80" s="143"/>
      <c r="CR80" s="13">
        <f t="shared" si="48"/>
        <v>3</v>
      </c>
      <c r="CS80" s="62"/>
      <c r="CT80" s="143"/>
      <c r="CU80" s="14">
        <f t="shared" si="42"/>
        <v>3</v>
      </c>
      <c r="CV80" s="5">
        <f t="shared" si="43"/>
        <v>45</v>
      </c>
      <c r="CW80" s="4">
        <f t="shared" si="43"/>
        <v>45</v>
      </c>
      <c r="CX80" s="6">
        <f t="shared" si="95"/>
        <v>3</v>
      </c>
      <c r="CY80" s="162">
        <v>3050</v>
      </c>
      <c r="CZ80" s="171">
        <f t="shared" si="45"/>
        <v>9150</v>
      </c>
      <c r="DB80" s="2">
        <f t="shared" si="49"/>
        <v>3</v>
      </c>
      <c r="DC80" s="62"/>
      <c r="DD80" s="143"/>
      <c r="DE80" s="149">
        <f t="shared" si="50"/>
        <v>3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58</v>
      </c>
      <c r="G81" s="62"/>
      <c r="H81" s="143">
        <v>3</v>
      </c>
      <c r="I81" s="13">
        <f t="shared" si="73"/>
        <v>55</v>
      </c>
      <c r="J81" s="62"/>
      <c r="K81" s="143">
        <v>6</v>
      </c>
      <c r="L81" s="13">
        <f t="shared" si="74"/>
        <v>49</v>
      </c>
      <c r="M81" s="62"/>
      <c r="N81" s="143"/>
      <c r="O81" s="13">
        <f t="shared" si="75"/>
        <v>49</v>
      </c>
      <c r="P81" s="62"/>
      <c r="Q81" s="143">
        <v>3</v>
      </c>
      <c r="R81" s="13">
        <f t="shared" si="76"/>
        <v>46</v>
      </c>
      <c r="S81" s="62"/>
      <c r="T81" s="143">
        <v>7</v>
      </c>
      <c r="U81" s="13">
        <f t="shared" si="77"/>
        <v>39</v>
      </c>
      <c r="V81" s="62"/>
      <c r="W81" s="143"/>
      <c r="X81" s="13">
        <f t="shared" si="78"/>
        <v>39</v>
      </c>
      <c r="Y81" s="62">
        <v>28</v>
      </c>
      <c r="Z81" s="143">
        <v>6</v>
      </c>
      <c r="AA81" s="13">
        <f t="shared" si="79"/>
        <v>61</v>
      </c>
      <c r="AB81" s="62"/>
      <c r="AC81" s="143">
        <v>3</v>
      </c>
      <c r="AD81" s="13">
        <f t="shared" si="80"/>
        <v>58</v>
      </c>
      <c r="AE81" s="62"/>
      <c r="AF81" s="143">
        <v>6</v>
      </c>
      <c r="AG81" s="13">
        <f t="shared" si="81"/>
        <v>52</v>
      </c>
      <c r="AH81" s="62"/>
      <c r="AI81" s="143"/>
      <c r="AJ81" s="13">
        <f t="shared" si="82"/>
        <v>52</v>
      </c>
      <c r="AK81" s="62"/>
      <c r="AL81" s="143">
        <v>6</v>
      </c>
      <c r="AM81" s="13">
        <f t="shared" si="83"/>
        <v>46</v>
      </c>
      <c r="AN81" s="62"/>
      <c r="AO81" s="143">
        <v>4</v>
      </c>
      <c r="AP81" s="13">
        <f t="shared" si="84"/>
        <v>42</v>
      </c>
      <c r="AQ81" s="62"/>
      <c r="AR81" s="143"/>
      <c r="AS81" s="13">
        <f t="shared" si="85"/>
        <v>42</v>
      </c>
      <c r="AT81" s="62">
        <v>28</v>
      </c>
      <c r="AU81" s="143">
        <v>8</v>
      </c>
      <c r="AV81" s="13">
        <f t="shared" si="86"/>
        <v>62</v>
      </c>
      <c r="AW81" s="62"/>
      <c r="AX81" s="143">
        <v>2</v>
      </c>
      <c r="AY81" s="13">
        <f t="shared" si="87"/>
        <v>60</v>
      </c>
      <c r="AZ81" s="62"/>
      <c r="BA81" s="143">
        <v>8</v>
      </c>
      <c r="BB81" s="13">
        <f t="shared" si="88"/>
        <v>52</v>
      </c>
      <c r="BC81" s="62"/>
      <c r="BD81" s="143"/>
      <c r="BE81" s="13">
        <f t="shared" si="89"/>
        <v>52</v>
      </c>
      <c r="BF81" s="62"/>
      <c r="BG81" s="143">
        <v>4</v>
      </c>
      <c r="BH81" s="13">
        <f t="shared" si="90"/>
        <v>48</v>
      </c>
      <c r="BI81" s="62"/>
      <c r="BJ81" s="143">
        <v>7</v>
      </c>
      <c r="BK81" s="13">
        <f t="shared" si="91"/>
        <v>41</v>
      </c>
      <c r="BL81" s="62"/>
      <c r="BM81" s="143"/>
      <c r="BN81" s="13">
        <f t="shared" si="92"/>
        <v>41</v>
      </c>
      <c r="BO81" s="62"/>
      <c r="BP81" s="143">
        <v>5</v>
      </c>
      <c r="BQ81" s="13">
        <f t="shared" si="93"/>
        <v>36</v>
      </c>
      <c r="BR81" s="62"/>
      <c r="BS81" s="143">
        <v>1</v>
      </c>
      <c r="BT81" s="13">
        <f t="shared" si="37"/>
        <v>35</v>
      </c>
      <c r="BU81" s="62"/>
      <c r="BV81" s="143">
        <v>6</v>
      </c>
      <c r="BW81" s="13">
        <f t="shared" si="94"/>
        <v>29</v>
      </c>
      <c r="BX81" s="62"/>
      <c r="BY81" s="143"/>
      <c r="BZ81" s="13">
        <f t="shared" si="38"/>
        <v>29</v>
      </c>
      <c r="CA81" s="62"/>
      <c r="CB81" s="143">
        <v>4</v>
      </c>
      <c r="CC81" s="13">
        <f t="shared" si="39"/>
        <v>25</v>
      </c>
      <c r="CD81" s="62"/>
      <c r="CE81" s="143">
        <v>5</v>
      </c>
      <c r="CF81" s="13">
        <f t="shared" si="40"/>
        <v>20</v>
      </c>
      <c r="CG81" s="62"/>
      <c r="CH81" s="143"/>
      <c r="CI81" s="13">
        <f t="shared" si="46"/>
        <v>20</v>
      </c>
      <c r="CJ81" s="62">
        <v>28</v>
      </c>
      <c r="CK81" s="143">
        <v>7</v>
      </c>
      <c r="CL81" s="13">
        <f t="shared" si="47"/>
        <v>41</v>
      </c>
      <c r="CM81" s="62"/>
      <c r="CN81" s="143">
        <v>2</v>
      </c>
      <c r="CO81" s="13">
        <f t="shared" si="41"/>
        <v>39</v>
      </c>
      <c r="CP81" s="62"/>
      <c r="CQ81" s="143">
        <v>5</v>
      </c>
      <c r="CR81" s="13">
        <f t="shared" si="48"/>
        <v>34</v>
      </c>
      <c r="CS81" s="62"/>
      <c r="CT81" s="143"/>
      <c r="CU81" s="14">
        <f t="shared" si="42"/>
        <v>34</v>
      </c>
      <c r="CV81" s="5">
        <f t="shared" si="43"/>
        <v>84</v>
      </c>
      <c r="CW81" s="4">
        <f t="shared" si="43"/>
        <v>108</v>
      </c>
      <c r="CX81" s="6">
        <f t="shared" si="95"/>
        <v>34</v>
      </c>
      <c r="CY81" s="162"/>
      <c r="CZ81" s="171">
        <f t="shared" si="45"/>
        <v>0</v>
      </c>
      <c r="DB81" s="2">
        <f t="shared" si="49"/>
        <v>34</v>
      </c>
      <c r="DC81" s="62"/>
      <c r="DD81" s="143"/>
      <c r="DE81" s="149">
        <f t="shared" si="50"/>
        <v>34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5</v>
      </c>
      <c r="G82" s="62"/>
      <c r="H82" s="143"/>
      <c r="I82" s="13">
        <f t="shared" si="73"/>
        <v>5</v>
      </c>
      <c r="J82" s="62"/>
      <c r="K82" s="143">
        <v>1</v>
      </c>
      <c r="L82" s="13">
        <f t="shared" si="74"/>
        <v>4</v>
      </c>
      <c r="M82" s="62"/>
      <c r="N82" s="143"/>
      <c r="O82" s="13">
        <f t="shared" si="75"/>
        <v>4</v>
      </c>
      <c r="P82" s="62">
        <v>12</v>
      </c>
      <c r="Q82" s="143">
        <v>3</v>
      </c>
      <c r="R82" s="30">
        <f t="shared" si="76"/>
        <v>13</v>
      </c>
      <c r="S82" s="62"/>
      <c r="T82" s="143">
        <v>1</v>
      </c>
      <c r="U82" s="13">
        <f t="shared" si="77"/>
        <v>12</v>
      </c>
      <c r="V82" s="62"/>
      <c r="W82" s="143"/>
      <c r="X82" s="13">
        <f t="shared" si="78"/>
        <v>12</v>
      </c>
      <c r="Y82" s="62">
        <v>6</v>
      </c>
      <c r="Z82" s="143">
        <v>4</v>
      </c>
      <c r="AA82" s="13">
        <f t="shared" si="79"/>
        <v>14</v>
      </c>
      <c r="AB82" s="62"/>
      <c r="AC82" s="143">
        <f>1+3</f>
        <v>4</v>
      </c>
      <c r="AD82" s="13">
        <f t="shared" si="80"/>
        <v>10</v>
      </c>
      <c r="AE82" s="62">
        <v>6</v>
      </c>
      <c r="AF82" s="143">
        <v>4</v>
      </c>
      <c r="AG82" s="13">
        <f t="shared" si="81"/>
        <v>12</v>
      </c>
      <c r="AH82" s="62"/>
      <c r="AI82" s="143"/>
      <c r="AJ82" s="13">
        <f t="shared" si="82"/>
        <v>12</v>
      </c>
      <c r="AK82" s="62"/>
      <c r="AL82" s="143">
        <v>3</v>
      </c>
      <c r="AM82" s="13">
        <f t="shared" si="83"/>
        <v>9</v>
      </c>
      <c r="AN82" s="62">
        <v>6</v>
      </c>
      <c r="AO82" s="143">
        <f>1+2</f>
        <v>3</v>
      </c>
      <c r="AP82" s="13">
        <f t="shared" si="84"/>
        <v>12</v>
      </c>
      <c r="AQ82" s="62"/>
      <c r="AR82" s="143"/>
      <c r="AS82" s="13">
        <f t="shared" si="85"/>
        <v>12</v>
      </c>
      <c r="AT82" s="62"/>
      <c r="AU82" s="143">
        <v>3</v>
      </c>
      <c r="AV82" s="13">
        <f t="shared" si="86"/>
        <v>9</v>
      </c>
      <c r="AW82" s="62"/>
      <c r="AX82" s="143">
        <v>2</v>
      </c>
      <c r="AY82" s="13">
        <f t="shared" si="87"/>
        <v>7</v>
      </c>
      <c r="AZ82" s="62"/>
      <c r="BA82" s="143">
        <f>1+5</f>
        <v>6</v>
      </c>
      <c r="BB82" s="13">
        <f t="shared" si="88"/>
        <v>1</v>
      </c>
      <c r="BC82" s="62"/>
      <c r="BD82" s="143"/>
      <c r="BE82" s="13">
        <f t="shared" si="89"/>
        <v>1</v>
      </c>
      <c r="BF82" s="62">
        <v>2</v>
      </c>
      <c r="BG82" s="143">
        <v>3</v>
      </c>
      <c r="BH82" s="13">
        <f t="shared" si="90"/>
        <v>0</v>
      </c>
      <c r="BI82" s="62">
        <v>1</v>
      </c>
      <c r="BJ82" s="143"/>
      <c r="BK82" s="13">
        <f t="shared" si="91"/>
        <v>1</v>
      </c>
      <c r="BL82" s="62"/>
      <c r="BM82" s="143"/>
      <c r="BN82" s="13">
        <f t="shared" si="92"/>
        <v>1</v>
      </c>
      <c r="BO82" s="62">
        <f>-2+2</f>
        <v>0</v>
      </c>
      <c r="BP82" s="143">
        <v>1</v>
      </c>
      <c r="BQ82" s="13">
        <f t="shared" si="93"/>
        <v>0</v>
      </c>
      <c r="BR82" s="62">
        <f>-3+12</f>
        <v>9</v>
      </c>
      <c r="BS82" s="143"/>
      <c r="BT82" s="13">
        <f t="shared" si="37"/>
        <v>9</v>
      </c>
      <c r="BU82" s="62">
        <v>6</v>
      </c>
      <c r="BV82" s="143">
        <v>2</v>
      </c>
      <c r="BW82" s="13">
        <f t="shared" si="94"/>
        <v>13</v>
      </c>
      <c r="BX82" s="62"/>
      <c r="BY82" s="143"/>
      <c r="BZ82" s="13">
        <f t="shared" si="38"/>
        <v>13</v>
      </c>
      <c r="CA82" s="62"/>
      <c r="CB82" s="143">
        <v>1</v>
      </c>
      <c r="CC82" s="13">
        <f t="shared" si="39"/>
        <v>12</v>
      </c>
      <c r="CD82" s="62"/>
      <c r="CE82" s="143">
        <f>1+1</f>
        <v>2</v>
      </c>
      <c r="CF82" s="13">
        <f t="shared" si="40"/>
        <v>10</v>
      </c>
      <c r="CG82" s="62"/>
      <c r="CH82" s="143"/>
      <c r="CI82" s="13">
        <f t="shared" si="46"/>
        <v>10</v>
      </c>
      <c r="CJ82" s="62"/>
      <c r="CK82" s="143">
        <v>2</v>
      </c>
      <c r="CL82" s="13">
        <f t="shared" si="47"/>
        <v>8</v>
      </c>
      <c r="CM82" s="62"/>
      <c r="CN82" s="143">
        <v>1</v>
      </c>
      <c r="CO82" s="13">
        <f t="shared" si="41"/>
        <v>7</v>
      </c>
      <c r="CP82" s="62"/>
      <c r="CQ82" s="143">
        <v>1</v>
      </c>
      <c r="CR82" s="13">
        <f t="shared" si="48"/>
        <v>6</v>
      </c>
      <c r="CS82" s="62"/>
      <c r="CT82" s="143"/>
      <c r="CU82" s="14">
        <f t="shared" si="42"/>
        <v>6</v>
      </c>
      <c r="CV82" s="129">
        <f t="shared" si="43"/>
        <v>48</v>
      </c>
      <c r="CW82" s="130">
        <f t="shared" si="43"/>
        <v>47</v>
      </c>
      <c r="CX82" s="131">
        <f t="shared" si="95"/>
        <v>6</v>
      </c>
      <c r="CY82" s="163">
        <v>0</v>
      </c>
      <c r="CZ82" s="172">
        <f t="shared" si="45"/>
        <v>0</v>
      </c>
      <c r="DB82" s="2">
        <f t="shared" si="49"/>
        <v>6</v>
      </c>
      <c r="DC82" s="62"/>
      <c r="DD82" s="143"/>
      <c r="DE82" s="149">
        <f t="shared" si="50"/>
        <v>6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44</v>
      </c>
      <c r="G83" s="62">
        <v>48</v>
      </c>
      <c r="H83" s="143">
        <f>2+17+2</f>
        <v>21</v>
      </c>
      <c r="I83" s="13">
        <f t="shared" si="73"/>
        <v>71</v>
      </c>
      <c r="J83" s="62"/>
      <c r="K83" s="143">
        <f>3+25</f>
        <v>28</v>
      </c>
      <c r="L83" s="13">
        <f t="shared" si="74"/>
        <v>43</v>
      </c>
      <c r="M83" s="62"/>
      <c r="N83" s="143"/>
      <c r="O83" s="13">
        <f t="shared" si="75"/>
        <v>43</v>
      </c>
      <c r="P83" s="62">
        <v>48</v>
      </c>
      <c r="Q83" s="143">
        <f>2+11</f>
        <v>13</v>
      </c>
      <c r="R83" s="30">
        <f t="shared" si="76"/>
        <v>78</v>
      </c>
      <c r="S83" s="62"/>
      <c r="T83" s="143">
        <f>2+10</f>
        <v>12</v>
      </c>
      <c r="U83" s="13">
        <f t="shared" si="77"/>
        <v>66</v>
      </c>
      <c r="V83" s="62"/>
      <c r="W83" s="143"/>
      <c r="X83" s="13">
        <f>U83+V83-W83</f>
        <v>66</v>
      </c>
      <c r="Y83" s="62">
        <v>48</v>
      </c>
      <c r="Z83" s="143">
        <v>15</v>
      </c>
      <c r="AA83" s="13">
        <f t="shared" si="79"/>
        <v>99</v>
      </c>
      <c r="AB83" s="62"/>
      <c r="AC83" s="143">
        <v>18</v>
      </c>
      <c r="AD83" s="13">
        <f t="shared" si="80"/>
        <v>81</v>
      </c>
      <c r="AE83" s="62">
        <v>48</v>
      </c>
      <c r="AF83" s="143">
        <f>4+34</f>
        <v>38</v>
      </c>
      <c r="AG83" s="13">
        <f t="shared" si="81"/>
        <v>91</v>
      </c>
      <c r="AH83" s="62"/>
      <c r="AI83" s="143"/>
      <c r="AJ83" s="13">
        <f t="shared" si="82"/>
        <v>91</v>
      </c>
      <c r="AK83" s="62"/>
      <c r="AL83" s="143">
        <v>27</v>
      </c>
      <c r="AM83" s="13">
        <f t="shared" si="83"/>
        <v>64</v>
      </c>
      <c r="AN83" s="62">
        <v>48</v>
      </c>
      <c r="AO83" s="143">
        <f>4+28</f>
        <v>32</v>
      </c>
      <c r="AP83" s="13">
        <f t="shared" si="84"/>
        <v>80</v>
      </c>
      <c r="AQ83" s="62"/>
      <c r="AR83" s="143"/>
      <c r="AS83" s="13">
        <f t="shared" si="85"/>
        <v>80</v>
      </c>
      <c r="AT83" s="62"/>
      <c r="AU83" s="143">
        <f>2+15</f>
        <v>17</v>
      </c>
      <c r="AV83" s="13">
        <f t="shared" si="86"/>
        <v>63</v>
      </c>
      <c r="AW83" s="62"/>
      <c r="AX83" s="143">
        <f>4+14</f>
        <v>18</v>
      </c>
      <c r="AY83" s="13">
        <f t="shared" si="87"/>
        <v>45</v>
      </c>
      <c r="AZ83" s="62">
        <v>72</v>
      </c>
      <c r="BA83" s="143">
        <f>4+25</f>
        <v>29</v>
      </c>
      <c r="BB83" s="13">
        <f t="shared" si="88"/>
        <v>88</v>
      </c>
      <c r="BC83" s="62"/>
      <c r="BD83" s="143"/>
      <c r="BE83" s="13">
        <f t="shared" si="89"/>
        <v>88</v>
      </c>
      <c r="BF83" s="62"/>
      <c r="BG83" s="143">
        <f>2+21</f>
        <v>23</v>
      </c>
      <c r="BH83" s="13">
        <f t="shared" si="90"/>
        <v>65</v>
      </c>
      <c r="BI83" s="62"/>
      <c r="BJ83" s="143">
        <v>5</v>
      </c>
      <c r="BK83" s="13">
        <f t="shared" si="91"/>
        <v>60</v>
      </c>
      <c r="BL83" s="62"/>
      <c r="BM83" s="143"/>
      <c r="BN83" s="13">
        <f t="shared" si="92"/>
        <v>60</v>
      </c>
      <c r="BO83" s="62"/>
      <c r="BP83" s="143">
        <f>2+5</f>
        <v>7</v>
      </c>
      <c r="BQ83" s="13">
        <f t="shared" si="93"/>
        <v>53</v>
      </c>
      <c r="BR83" s="62"/>
      <c r="BS83" s="143">
        <v>16</v>
      </c>
      <c r="BT83" s="13">
        <f t="shared" si="37"/>
        <v>37</v>
      </c>
      <c r="BU83" s="62">
        <v>72</v>
      </c>
      <c r="BV83" s="143">
        <v>27</v>
      </c>
      <c r="BW83" s="13">
        <f t="shared" si="94"/>
        <v>82</v>
      </c>
      <c r="BX83" s="62"/>
      <c r="BY83" s="143"/>
      <c r="BZ83" s="13">
        <f t="shared" si="38"/>
        <v>82</v>
      </c>
      <c r="CA83" s="62"/>
      <c r="CB83" s="143">
        <v>6</v>
      </c>
      <c r="CC83" s="13">
        <f t="shared" si="39"/>
        <v>76</v>
      </c>
      <c r="CD83" s="62"/>
      <c r="CE83" s="143">
        <f>3+6</f>
        <v>9</v>
      </c>
      <c r="CF83" s="13">
        <f t="shared" si="40"/>
        <v>67</v>
      </c>
      <c r="CG83" s="62"/>
      <c r="CH83" s="143"/>
      <c r="CI83" s="13">
        <f t="shared" si="46"/>
        <v>67</v>
      </c>
      <c r="CJ83" s="62">
        <v>48</v>
      </c>
      <c r="CK83" s="143">
        <f>2+10</f>
        <v>12</v>
      </c>
      <c r="CL83" s="13">
        <f t="shared" si="47"/>
        <v>103</v>
      </c>
      <c r="CM83" s="62"/>
      <c r="CN83" s="143">
        <v>10</v>
      </c>
      <c r="CO83" s="13">
        <f t="shared" si="41"/>
        <v>93</v>
      </c>
      <c r="CP83" s="62"/>
      <c r="CQ83" s="143">
        <v>23</v>
      </c>
      <c r="CR83" s="13">
        <f t="shared" si="48"/>
        <v>70</v>
      </c>
      <c r="CS83" s="62"/>
      <c r="CT83" s="143"/>
      <c r="CU83" s="14">
        <f t="shared" si="42"/>
        <v>70</v>
      </c>
      <c r="CV83" s="5">
        <f>G83+J83+M83+P83+S83+V83+Y83+AB83+AE83+AH83+AK83+AN83+AQ83+AT83+AW83+AZ83+BC83+BF83+BI83+BL83+BO83+BR83+BU83+BX83+CA83+CD83+CG83+CJ83+CM83+CP83+CS83</f>
        <v>432</v>
      </c>
      <c r="CW83" s="4">
        <f>H83+K83+N83+Q83+T83+W83+Z83+AC83+AF83+AI83+AL83+AO83+AR83+AU83+AX83+BA83+BD83+BG83+BJ83+BM83+BP83+BS83+BV83+BY83+CB83+CE83+CH83+CK83+CN83+CQ83+CT83</f>
        <v>406</v>
      </c>
      <c r="CX83" s="6">
        <f t="shared" si="95"/>
        <v>70</v>
      </c>
      <c r="CY83" s="164">
        <v>0</v>
      </c>
      <c r="CZ83" s="171">
        <f t="shared" si="45"/>
        <v>0</v>
      </c>
      <c r="DB83" s="2">
        <f t="shared" si="49"/>
        <v>70</v>
      </c>
      <c r="DC83" s="62"/>
      <c r="DD83" s="143"/>
      <c r="DE83" s="149">
        <f t="shared" si="50"/>
        <v>70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195563.05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211208.09400000001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59C47-6212-431F-B81F-5CB3ACB858E4}">
  <sheetPr codeName="Sheet42">
    <tabColor rgb="FF00B0F0"/>
    <pageSetUpPr fitToPage="1"/>
  </sheetPr>
  <dimension ref="A1:DE133"/>
  <sheetViews>
    <sheetView zoomScale="160" zoomScaleNormal="160" workbookViewId="0">
      <pane xSplit="5" ySplit="4" topLeftCell="F88" activePane="bottomRight" state="frozen"/>
      <selection pane="topRight" activeCell="F1" sqref="F1"/>
      <selection pane="bottomLeft" activeCell="A5" sqref="A5"/>
      <selection pane="bottomRight" activeCell="CW82" sqref="CW82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8.77734375" style="1" customWidth="1"/>
    <col min="5" max="5" width="9" style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0" width="5" style="10" hidden="1" customWidth="1"/>
    <col min="91" max="99" width="5" style="10" customWidth="1"/>
    <col min="100" max="102" width="6.33203125" style="1" customWidth="1"/>
    <col min="103" max="103" width="5.6640625" style="1" customWidth="1"/>
    <col min="104" max="104" width="6.88671875" style="1" customWidth="1"/>
    <col min="105" max="105" width="1.44140625" style="1" customWidth="1"/>
    <col min="106" max="106" width="4.777343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7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1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1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2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8</v>
      </c>
      <c r="G6" s="62">
        <v>20</v>
      </c>
      <c r="H6" s="143">
        <f>2+4</f>
        <v>6</v>
      </c>
      <c r="I6" s="13">
        <f t="shared" si="0"/>
        <v>22</v>
      </c>
      <c r="J6" s="62"/>
      <c r="K6" s="143">
        <f>1+2</f>
        <v>3</v>
      </c>
      <c r="L6" s="13">
        <f t="shared" si="1"/>
        <v>19</v>
      </c>
      <c r="M6" s="62"/>
      <c r="N6" s="143">
        <f>2</f>
        <v>2</v>
      </c>
      <c r="O6" s="13">
        <f t="shared" si="2"/>
        <v>17</v>
      </c>
      <c r="P6" s="62"/>
      <c r="Q6" s="143"/>
      <c r="R6" s="13">
        <f t="shared" si="3"/>
        <v>17</v>
      </c>
      <c r="S6" s="62"/>
      <c r="T6" s="143">
        <f>3+1</f>
        <v>4</v>
      </c>
      <c r="U6" s="13">
        <f t="shared" si="4"/>
        <v>13</v>
      </c>
      <c r="V6" s="62"/>
      <c r="W6" s="143"/>
      <c r="X6" s="13">
        <f t="shared" si="5"/>
        <v>13</v>
      </c>
      <c r="Y6" s="62">
        <v>10</v>
      </c>
      <c r="Z6" s="143">
        <f>5+4</f>
        <v>9</v>
      </c>
      <c r="AA6" s="13">
        <f t="shared" ref="AA6:AA68" si="27">X6+Y6-Z6</f>
        <v>14</v>
      </c>
      <c r="AB6" s="62"/>
      <c r="AC6" s="143">
        <f>2</f>
        <v>2</v>
      </c>
      <c r="AD6" s="13">
        <f t="shared" ref="AD6:AD68" si="28">AA6+AB6-AC6</f>
        <v>12</v>
      </c>
      <c r="AE6" s="62"/>
      <c r="AF6" s="143"/>
      <c r="AG6" s="13">
        <f t="shared" ref="AG6:AG68" si="29">AD6+AE6-AF6</f>
        <v>12</v>
      </c>
      <c r="AH6" s="62"/>
      <c r="AI6" s="143">
        <f>4</f>
        <v>4</v>
      </c>
      <c r="AJ6" s="13">
        <f t="shared" ref="AJ6:AJ68" si="30">AG6+AH6-AI6</f>
        <v>8</v>
      </c>
      <c r="AK6" s="62"/>
      <c r="AL6" s="143">
        <v>2</v>
      </c>
      <c r="AM6" s="13">
        <f t="shared" si="6"/>
        <v>6</v>
      </c>
      <c r="AN6" s="62"/>
      <c r="AO6" s="143"/>
      <c r="AP6" s="13">
        <f t="shared" si="7"/>
        <v>6</v>
      </c>
      <c r="AQ6" s="62"/>
      <c r="AR6" s="143"/>
      <c r="AS6" s="13">
        <f t="shared" si="8"/>
        <v>6</v>
      </c>
      <c r="AT6" s="62">
        <v>10</v>
      </c>
      <c r="AU6" s="143">
        <v>1</v>
      </c>
      <c r="AV6" s="13">
        <f t="shared" si="9"/>
        <v>15</v>
      </c>
      <c r="AW6" s="62"/>
      <c r="AX6" s="143">
        <f>6</f>
        <v>6</v>
      </c>
      <c r="AY6" s="13">
        <f t="shared" si="10"/>
        <v>9</v>
      </c>
      <c r="AZ6" s="61"/>
      <c r="BA6" s="143">
        <f>3+3</f>
        <v>6</v>
      </c>
      <c r="BB6" s="13">
        <f t="shared" si="11"/>
        <v>3</v>
      </c>
      <c r="BC6" s="62">
        <v>10</v>
      </c>
      <c r="BD6" s="143"/>
      <c r="BE6" s="13">
        <f t="shared" si="12"/>
        <v>13</v>
      </c>
      <c r="BF6" s="62">
        <v>10</v>
      </c>
      <c r="BG6" s="143"/>
      <c r="BH6" s="13">
        <f t="shared" si="13"/>
        <v>23</v>
      </c>
      <c r="BI6" s="62"/>
      <c r="BJ6" s="143">
        <v>6</v>
      </c>
      <c r="BK6" s="13">
        <f t="shared" si="14"/>
        <v>17</v>
      </c>
      <c r="BL6" s="62"/>
      <c r="BM6" s="143"/>
      <c r="BN6" s="13">
        <f t="shared" si="15"/>
        <v>17</v>
      </c>
      <c r="BO6" s="62"/>
      <c r="BP6" s="143">
        <v>1</v>
      </c>
      <c r="BQ6" s="13">
        <f t="shared" si="16"/>
        <v>16</v>
      </c>
      <c r="BR6" s="62"/>
      <c r="BS6" s="143">
        <f>4+4</f>
        <v>8</v>
      </c>
      <c r="BT6" s="13">
        <f t="shared" si="17"/>
        <v>8</v>
      </c>
      <c r="BU6" s="62"/>
      <c r="BV6" s="143"/>
      <c r="BW6" s="13">
        <f t="shared" si="18"/>
        <v>8</v>
      </c>
      <c r="BX6" s="62"/>
      <c r="BY6" s="143"/>
      <c r="BZ6" s="13">
        <f t="shared" si="19"/>
        <v>8</v>
      </c>
      <c r="CA6" s="62"/>
      <c r="CB6" s="143">
        <v>1</v>
      </c>
      <c r="CC6" s="13">
        <f t="shared" si="20"/>
        <v>7</v>
      </c>
      <c r="CD6" s="62">
        <v>10</v>
      </c>
      <c r="CE6" s="143">
        <f>4</f>
        <v>4</v>
      </c>
      <c r="CF6" s="13">
        <f t="shared" si="21"/>
        <v>13</v>
      </c>
      <c r="CG6" s="62"/>
      <c r="CH6" s="143"/>
      <c r="CI6" s="13">
        <f t="shared" ref="CI6:CI69" si="31">CF6+CG6-CH6</f>
        <v>13</v>
      </c>
      <c r="CJ6" s="62"/>
      <c r="CK6" s="143"/>
      <c r="CL6" s="13">
        <f t="shared" ref="CL6:CL69" si="32">CI6+CJ6-CK6</f>
        <v>13</v>
      </c>
      <c r="CM6" s="62"/>
      <c r="CN6" s="143">
        <f>4+2</f>
        <v>6</v>
      </c>
      <c r="CO6" s="13">
        <f t="shared" si="22"/>
        <v>7</v>
      </c>
      <c r="CP6" s="61"/>
      <c r="CQ6" s="143">
        <f>3</f>
        <v>3</v>
      </c>
      <c r="CR6" s="13">
        <f t="shared" ref="CR6:CR69" si="33">CO6+CP6-CQ6</f>
        <v>4</v>
      </c>
      <c r="CS6" s="62"/>
      <c r="CT6" s="143"/>
      <c r="CU6" s="14">
        <f t="shared" si="23"/>
        <v>4</v>
      </c>
      <c r="CV6" s="5">
        <f t="shared" si="24"/>
        <v>70</v>
      </c>
      <c r="CW6" s="4">
        <f t="shared" si="24"/>
        <v>74</v>
      </c>
      <c r="CX6" s="6">
        <f t="shared" si="25"/>
        <v>4</v>
      </c>
      <c r="CY6" s="162">
        <v>210</v>
      </c>
      <c r="CZ6" s="171">
        <f t="shared" si="26"/>
        <v>840</v>
      </c>
      <c r="DB6" s="2">
        <f t="shared" ref="DB6:DB69" si="34">CU6</f>
        <v>4</v>
      </c>
      <c r="DC6" s="62"/>
      <c r="DD6" s="143"/>
      <c r="DE6" s="149">
        <f t="shared" ref="DE6:DE70" si="35">DC6+DB6-DD6</f>
        <v>4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1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1"/>
      <c r="CN7" s="143"/>
      <c r="CO7" s="13">
        <f t="shared" si="22"/>
        <v>0</v>
      </c>
      <c r="CP7" s="61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2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10</v>
      </c>
      <c r="G8" s="62">
        <v>20</v>
      </c>
      <c r="H8" s="143">
        <v>8</v>
      </c>
      <c r="I8" s="13">
        <f t="shared" si="0"/>
        <v>22</v>
      </c>
      <c r="J8" s="62"/>
      <c r="K8" s="143"/>
      <c r="L8" s="13">
        <f t="shared" si="1"/>
        <v>22</v>
      </c>
      <c r="M8" s="62"/>
      <c r="N8" s="143">
        <v>4</v>
      </c>
      <c r="O8" s="13">
        <f t="shared" si="2"/>
        <v>18</v>
      </c>
      <c r="P8" s="62">
        <v>20</v>
      </c>
      <c r="Q8" s="143">
        <v>5</v>
      </c>
      <c r="R8" s="13">
        <f t="shared" si="3"/>
        <v>33</v>
      </c>
      <c r="S8" s="62"/>
      <c r="T8" s="143">
        <v>12</v>
      </c>
      <c r="U8" s="13">
        <f t="shared" si="4"/>
        <v>21</v>
      </c>
      <c r="V8" s="62"/>
      <c r="W8" s="143"/>
      <c r="X8" s="13">
        <f t="shared" si="5"/>
        <v>21</v>
      </c>
      <c r="Y8" s="62">
        <v>20</v>
      </c>
      <c r="Z8" s="143">
        <v>10</v>
      </c>
      <c r="AA8" s="13">
        <f t="shared" si="27"/>
        <v>31</v>
      </c>
      <c r="AB8" s="62"/>
      <c r="AC8" s="143">
        <v>7</v>
      </c>
      <c r="AD8" s="13">
        <f t="shared" si="28"/>
        <v>24</v>
      </c>
      <c r="AE8" s="62"/>
      <c r="AF8" s="143"/>
      <c r="AG8" s="13">
        <f t="shared" si="29"/>
        <v>24</v>
      </c>
      <c r="AH8" s="62">
        <v>20</v>
      </c>
      <c r="AI8" s="143">
        <v>9</v>
      </c>
      <c r="AJ8" s="13">
        <f t="shared" si="30"/>
        <v>35</v>
      </c>
      <c r="AK8" s="62"/>
      <c r="AL8" s="143">
        <v>2</v>
      </c>
      <c r="AM8" s="13">
        <f t="shared" si="6"/>
        <v>33</v>
      </c>
      <c r="AN8" s="62"/>
      <c r="AO8" s="143">
        <v>8</v>
      </c>
      <c r="AP8" s="13">
        <f t="shared" si="7"/>
        <v>25</v>
      </c>
      <c r="AQ8" s="62"/>
      <c r="AR8" s="143"/>
      <c r="AS8" s="13">
        <f t="shared" si="8"/>
        <v>25</v>
      </c>
      <c r="AT8" s="62"/>
      <c r="AU8" s="143">
        <v>5</v>
      </c>
      <c r="AV8" s="13">
        <f t="shared" si="9"/>
        <v>20</v>
      </c>
      <c r="AW8" s="62"/>
      <c r="AX8" s="143">
        <v>9</v>
      </c>
      <c r="AY8" s="13">
        <f t="shared" si="10"/>
        <v>11</v>
      </c>
      <c r="AZ8" s="61"/>
      <c r="BA8" s="143"/>
      <c r="BB8" s="13">
        <f t="shared" si="11"/>
        <v>11</v>
      </c>
      <c r="BC8" s="62">
        <v>20</v>
      </c>
      <c r="BD8" s="143">
        <v>5</v>
      </c>
      <c r="BE8" s="13">
        <f t="shared" si="12"/>
        <v>26</v>
      </c>
      <c r="BF8" s="62"/>
      <c r="BG8" s="143">
        <v>8</v>
      </c>
      <c r="BH8" s="13">
        <f t="shared" si="13"/>
        <v>18</v>
      </c>
      <c r="BI8" s="62">
        <v>20</v>
      </c>
      <c r="BJ8" s="143">
        <v>8</v>
      </c>
      <c r="BK8" s="13">
        <f t="shared" si="14"/>
        <v>30</v>
      </c>
      <c r="BL8" s="62"/>
      <c r="BM8" s="143"/>
      <c r="BN8" s="13">
        <f t="shared" si="15"/>
        <v>30</v>
      </c>
      <c r="BO8" s="62"/>
      <c r="BP8" s="143">
        <v>11</v>
      </c>
      <c r="BQ8" s="13">
        <f t="shared" si="16"/>
        <v>19</v>
      </c>
      <c r="BR8" s="62"/>
      <c r="BS8" s="143">
        <v>7</v>
      </c>
      <c r="BT8" s="13">
        <f t="shared" si="17"/>
        <v>12</v>
      </c>
      <c r="BU8" s="62"/>
      <c r="BV8" s="143"/>
      <c r="BW8" s="13">
        <f t="shared" si="18"/>
        <v>12</v>
      </c>
      <c r="BX8" s="62">
        <v>20</v>
      </c>
      <c r="BY8" s="143">
        <v>6</v>
      </c>
      <c r="BZ8" s="13">
        <f t="shared" si="19"/>
        <v>26</v>
      </c>
      <c r="CA8" s="62"/>
      <c r="CB8" s="143">
        <v>8</v>
      </c>
      <c r="CC8" s="13">
        <f t="shared" si="20"/>
        <v>18</v>
      </c>
      <c r="CD8" s="62">
        <v>20</v>
      </c>
      <c r="CE8" s="143">
        <v>8</v>
      </c>
      <c r="CF8" s="13">
        <f t="shared" si="21"/>
        <v>30</v>
      </c>
      <c r="CG8" s="62"/>
      <c r="CH8" s="143"/>
      <c r="CI8" s="13">
        <f t="shared" si="31"/>
        <v>30</v>
      </c>
      <c r="CJ8" s="62"/>
      <c r="CK8" s="143">
        <v>4</v>
      </c>
      <c r="CL8" s="13">
        <f t="shared" si="32"/>
        <v>26</v>
      </c>
      <c r="CM8" s="61"/>
      <c r="CN8" s="143">
        <v>8</v>
      </c>
      <c r="CO8" s="13">
        <f t="shared" si="22"/>
        <v>18</v>
      </c>
      <c r="CP8" s="61"/>
      <c r="CQ8" s="143"/>
      <c r="CR8" s="13">
        <f t="shared" si="33"/>
        <v>18</v>
      </c>
      <c r="CS8" s="62"/>
      <c r="CT8" s="143">
        <v>10</v>
      </c>
      <c r="CU8" s="14">
        <f t="shared" si="23"/>
        <v>8</v>
      </c>
      <c r="CV8" s="5">
        <f t="shared" si="24"/>
        <v>160</v>
      </c>
      <c r="CW8" s="4">
        <f t="shared" si="24"/>
        <v>162</v>
      </c>
      <c r="CX8" s="6">
        <f t="shared" si="25"/>
        <v>8</v>
      </c>
      <c r="CY8" s="162">
        <v>125</v>
      </c>
      <c r="CZ8" s="171">
        <f t="shared" si="26"/>
        <v>1000</v>
      </c>
      <c r="DB8" s="2">
        <f t="shared" si="34"/>
        <v>8</v>
      </c>
      <c r="DC8" s="62"/>
      <c r="DD8" s="143"/>
      <c r="DE8" s="149">
        <f t="shared" si="35"/>
        <v>8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1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1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1"/>
      <c r="CN10" s="143"/>
      <c r="CO10" s="13">
        <f t="shared" si="22"/>
        <v>0</v>
      </c>
      <c r="CP10" s="61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2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66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66"/>
      <c r="CN11" s="143"/>
      <c r="CO11" s="13">
        <f t="shared" si="22"/>
        <v>0</v>
      </c>
      <c r="CP11" s="66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175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24</v>
      </c>
      <c r="G12" s="62">
        <f>-43+60+40</f>
        <v>57</v>
      </c>
      <c r="H12" s="143">
        <f>8+16</f>
        <v>24</v>
      </c>
      <c r="I12" s="13">
        <f t="shared" si="0"/>
        <v>57</v>
      </c>
      <c r="J12" s="62"/>
      <c r="K12" s="143"/>
      <c r="L12" s="13">
        <f t="shared" si="1"/>
        <v>57</v>
      </c>
      <c r="M12" s="62">
        <v>40</v>
      </c>
      <c r="N12" s="143">
        <f>5+37</f>
        <v>42</v>
      </c>
      <c r="O12" s="13">
        <f t="shared" si="2"/>
        <v>55</v>
      </c>
      <c r="P12" s="62">
        <f>-8+60</f>
        <v>52</v>
      </c>
      <c r="Q12" s="143">
        <f>6+49</f>
        <v>55</v>
      </c>
      <c r="R12" s="13">
        <f t="shared" si="3"/>
        <v>52</v>
      </c>
      <c r="S12" s="62">
        <f>-31+40+40</f>
        <v>49</v>
      </c>
      <c r="T12" s="143">
        <f>4+48</f>
        <v>52</v>
      </c>
      <c r="U12" s="13">
        <f t="shared" si="4"/>
        <v>49</v>
      </c>
      <c r="V12" s="62"/>
      <c r="W12" s="143"/>
      <c r="X12" s="13">
        <f t="shared" si="5"/>
        <v>49</v>
      </c>
      <c r="Y12" s="62">
        <f>-6+60+6</f>
        <v>60</v>
      </c>
      <c r="Z12" s="143">
        <f>7+42</f>
        <v>49</v>
      </c>
      <c r="AA12" s="13">
        <f t="shared" si="27"/>
        <v>60</v>
      </c>
      <c r="AB12" s="62">
        <f>40</f>
        <v>40</v>
      </c>
      <c r="AC12" s="143">
        <f>8+38</f>
        <v>46</v>
      </c>
      <c r="AD12" s="13">
        <f t="shared" si="28"/>
        <v>54</v>
      </c>
      <c r="AE12" s="62"/>
      <c r="AF12" s="143"/>
      <c r="AG12" s="13">
        <f t="shared" si="29"/>
        <v>54</v>
      </c>
      <c r="AH12" s="62">
        <v>40</v>
      </c>
      <c r="AI12" s="143">
        <f>6+42</f>
        <v>48</v>
      </c>
      <c r="AJ12" s="13">
        <f t="shared" si="30"/>
        <v>46</v>
      </c>
      <c r="AK12" s="62">
        <f>-21+40+40</f>
        <v>59</v>
      </c>
      <c r="AL12" s="143">
        <f>6+40</f>
        <v>46</v>
      </c>
      <c r="AM12" s="13">
        <f t="shared" si="6"/>
        <v>59</v>
      </c>
      <c r="AN12" s="62">
        <f>-37+40+60</f>
        <v>63</v>
      </c>
      <c r="AO12" s="143">
        <f>4+5+50</f>
        <v>59</v>
      </c>
      <c r="AP12" s="13">
        <f t="shared" si="7"/>
        <v>63</v>
      </c>
      <c r="AQ12" s="62"/>
      <c r="AR12" s="143"/>
      <c r="AS12" s="13">
        <f t="shared" si="8"/>
        <v>63</v>
      </c>
      <c r="AT12" s="62">
        <f>-1+60+1</f>
        <v>60</v>
      </c>
      <c r="AU12" s="143">
        <f>12+51</f>
        <v>63</v>
      </c>
      <c r="AV12" s="13">
        <f t="shared" si="9"/>
        <v>60</v>
      </c>
      <c r="AW12" s="62">
        <f>-5+40+20</f>
        <v>55</v>
      </c>
      <c r="AX12" s="143">
        <f>2+58</f>
        <v>60</v>
      </c>
      <c r="AY12" s="13">
        <f t="shared" si="10"/>
        <v>55</v>
      </c>
      <c r="AZ12" s="61"/>
      <c r="BA12" s="143"/>
      <c r="BB12" s="13">
        <f t="shared" si="11"/>
        <v>55</v>
      </c>
      <c r="BC12" s="62">
        <f>-3+60</f>
        <v>57</v>
      </c>
      <c r="BD12" s="143">
        <f>-3+4+42+12</f>
        <v>55</v>
      </c>
      <c r="BE12" s="13">
        <f t="shared" si="12"/>
        <v>57</v>
      </c>
      <c r="BF12" s="62">
        <f>-4+60+20</f>
        <v>76</v>
      </c>
      <c r="BG12" s="143">
        <v>57</v>
      </c>
      <c r="BH12" s="13">
        <f t="shared" si="13"/>
        <v>76</v>
      </c>
      <c r="BI12" s="62">
        <f>-20+60+60</f>
        <v>100</v>
      </c>
      <c r="BJ12" s="143">
        <f>6+70</f>
        <v>76</v>
      </c>
      <c r="BK12" s="13">
        <f t="shared" si="14"/>
        <v>100</v>
      </c>
      <c r="BL12" s="62"/>
      <c r="BM12" s="143"/>
      <c r="BN12" s="13">
        <f t="shared" si="15"/>
        <v>100</v>
      </c>
      <c r="BO12" s="62"/>
      <c r="BP12" s="143">
        <f>4+57</f>
        <v>61</v>
      </c>
      <c r="BQ12" s="13">
        <f t="shared" si="16"/>
        <v>39</v>
      </c>
      <c r="BR12" s="62">
        <f>-42+40+60</f>
        <v>58</v>
      </c>
      <c r="BS12" s="143">
        <f>5+34</f>
        <v>39</v>
      </c>
      <c r="BT12" s="13">
        <f t="shared" si="17"/>
        <v>58</v>
      </c>
      <c r="BU12" s="62"/>
      <c r="BV12" s="143"/>
      <c r="BW12" s="13">
        <f t="shared" si="18"/>
        <v>58</v>
      </c>
      <c r="BX12" s="62">
        <v>40</v>
      </c>
      <c r="BY12" s="143">
        <f>5+49</f>
        <v>54</v>
      </c>
      <c r="BZ12" s="13">
        <f t="shared" si="19"/>
        <v>44</v>
      </c>
      <c r="CA12" s="62">
        <f>-8+60+20</f>
        <v>72</v>
      </c>
      <c r="CB12" s="143">
        <f>7+37</f>
        <v>44</v>
      </c>
      <c r="CC12" s="13">
        <f t="shared" si="20"/>
        <v>72</v>
      </c>
      <c r="CD12" s="62">
        <f>-43+40+43</f>
        <v>40</v>
      </c>
      <c r="CE12" s="143">
        <v>76</v>
      </c>
      <c r="CF12" s="13">
        <f t="shared" si="21"/>
        <v>36</v>
      </c>
      <c r="CG12" s="62"/>
      <c r="CH12" s="143"/>
      <c r="CI12" s="13">
        <f t="shared" si="31"/>
        <v>36</v>
      </c>
      <c r="CJ12" s="62">
        <f>-19+60+20</f>
        <v>61</v>
      </c>
      <c r="CK12" s="143">
        <f>-4+40</f>
        <v>36</v>
      </c>
      <c r="CL12" s="13">
        <f t="shared" si="32"/>
        <v>61</v>
      </c>
      <c r="CM12" s="61">
        <f>-25+40+25</f>
        <v>40</v>
      </c>
      <c r="CN12" s="143">
        <f>7+54</f>
        <v>61</v>
      </c>
      <c r="CO12" s="13">
        <f t="shared" si="22"/>
        <v>40</v>
      </c>
      <c r="CP12" s="61"/>
      <c r="CQ12" s="143"/>
      <c r="CR12" s="13">
        <f t="shared" si="33"/>
        <v>40</v>
      </c>
      <c r="CS12" s="62">
        <f>-20+26</f>
        <v>6</v>
      </c>
      <c r="CT12" s="143">
        <f>4+36</f>
        <v>40</v>
      </c>
      <c r="CU12" s="14">
        <f t="shared" si="23"/>
        <v>6</v>
      </c>
      <c r="CV12" s="5">
        <f t="shared" si="24"/>
        <v>1125</v>
      </c>
      <c r="CW12" s="4">
        <f t="shared" si="24"/>
        <v>1143</v>
      </c>
      <c r="CX12" s="6">
        <f t="shared" si="25"/>
        <v>6</v>
      </c>
      <c r="CY12" s="162">
        <v>45</v>
      </c>
      <c r="CZ12" s="171">
        <f t="shared" si="26"/>
        <v>270</v>
      </c>
      <c r="DB12" s="2">
        <f t="shared" si="34"/>
        <v>6</v>
      </c>
      <c r="DC12" s="62"/>
      <c r="DD12" s="143"/>
      <c r="DE12" s="149">
        <f t="shared" si="35"/>
        <v>6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4</v>
      </c>
      <c r="G13" s="62">
        <v>12</v>
      </c>
      <c r="H13" s="143">
        <f>1.5+1+1</f>
        <v>3.5</v>
      </c>
      <c r="I13" s="13">
        <f t="shared" si="0"/>
        <v>12.5</v>
      </c>
      <c r="J13" s="62"/>
      <c r="K13" s="143">
        <v>2</v>
      </c>
      <c r="L13" s="13">
        <f t="shared" si="1"/>
        <v>10.5</v>
      </c>
      <c r="M13" s="62">
        <v>6</v>
      </c>
      <c r="N13" s="143">
        <f>1.5+1+1.25+1.25+1</f>
        <v>6</v>
      </c>
      <c r="O13" s="13">
        <f t="shared" si="2"/>
        <v>10.5</v>
      </c>
      <c r="P13" s="62"/>
      <c r="Q13" s="143">
        <f>1.5</f>
        <v>1.5</v>
      </c>
      <c r="R13" s="30">
        <f t="shared" si="3"/>
        <v>9</v>
      </c>
      <c r="S13" s="62"/>
      <c r="T13" s="143">
        <f>1</f>
        <v>1</v>
      </c>
      <c r="U13" s="13">
        <f t="shared" si="4"/>
        <v>8</v>
      </c>
      <c r="V13" s="62"/>
      <c r="W13" s="143"/>
      <c r="X13" s="13">
        <f t="shared" si="5"/>
        <v>8</v>
      </c>
      <c r="Y13" s="62"/>
      <c r="Z13" s="143">
        <f>2+1</f>
        <v>3</v>
      </c>
      <c r="AA13" s="13">
        <f t="shared" si="27"/>
        <v>5</v>
      </c>
      <c r="AB13" s="62">
        <v>6</v>
      </c>
      <c r="AC13" s="143">
        <f>1</f>
        <v>1</v>
      </c>
      <c r="AD13" s="13">
        <f t="shared" si="28"/>
        <v>10</v>
      </c>
      <c r="AE13" s="62"/>
      <c r="AF13" s="143">
        <f>1.5+1</f>
        <v>2.5</v>
      </c>
      <c r="AG13" s="13">
        <f t="shared" si="29"/>
        <v>7.5</v>
      </c>
      <c r="AH13" s="62">
        <v>6</v>
      </c>
      <c r="AI13" s="143">
        <f>2.5+1</f>
        <v>3.5</v>
      </c>
      <c r="AJ13" s="13">
        <f t="shared" si="30"/>
        <v>10</v>
      </c>
      <c r="AK13" s="62"/>
      <c r="AL13" s="143">
        <f>1.5</f>
        <v>1.5</v>
      </c>
      <c r="AM13" s="13">
        <f t="shared" si="6"/>
        <v>8.5</v>
      </c>
      <c r="AN13" s="62"/>
      <c r="AO13" s="143">
        <v>1</v>
      </c>
      <c r="AP13" s="13">
        <f t="shared" si="7"/>
        <v>7.5</v>
      </c>
      <c r="AQ13" s="62"/>
      <c r="AR13" s="143"/>
      <c r="AS13" s="13">
        <f t="shared" si="8"/>
        <v>7.5</v>
      </c>
      <c r="AT13" s="62">
        <v>6</v>
      </c>
      <c r="AU13" s="143">
        <f>1.5+1</f>
        <v>2.5</v>
      </c>
      <c r="AV13" s="13">
        <f t="shared" si="9"/>
        <v>11</v>
      </c>
      <c r="AW13" s="62">
        <v>5</v>
      </c>
      <c r="AX13" s="143">
        <f>1+0.5+0.75+0.5+1</f>
        <v>3.75</v>
      </c>
      <c r="AY13" s="13">
        <f t="shared" si="10"/>
        <v>12.25</v>
      </c>
      <c r="AZ13" s="61"/>
      <c r="BA13" s="143">
        <f>2.5+1.5+1.25+1</f>
        <v>6.25</v>
      </c>
      <c r="BB13" s="13">
        <f t="shared" si="11"/>
        <v>6</v>
      </c>
      <c r="BC13" s="62"/>
      <c r="BD13" s="143">
        <v>1</v>
      </c>
      <c r="BE13" s="13">
        <f t="shared" si="12"/>
        <v>5</v>
      </c>
      <c r="BF13" s="62">
        <v>6</v>
      </c>
      <c r="BG13" s="143"/>
      <c r="BH13" s="13">
        <f t="shared" si="13"/>
        <v>11</v>
      </c>
      <c r="BI13" s="62"/>
      <c r="BJ13" s="143">
        <v>1</v>
      </c>
      <c r="BK13" s="13">
        <f t="shared" si="14"/>
        <v>10</v>
      </c>
      <c r="BL13" s="62"/>
      <c r="BM13" s="143"/>
      <c r="BN13" s="13">
        <f t="shared" si="15"/>
        <v>10</v>
      </c>
      <c r="BO13" s="62"/>
      <c r="BP13" s="143"/>
      <c r="BQ13" s="13">
        <f t="shared" si="16"/>
        <v>10</v>
      </c>
      <c r="BR13" s="62">
        <v>6</v>
      </c>
      <c r="BS13" s="143">
        <f>2+1+2</f>
        <v>5</v>
      </c>
      <c r="BT13" s="13">
        <f t="shared" si="17"/>
        <v>11</v>
      </c>
      <c r="BU13" s="62"/>
      <c r="BV13" s="143">
        <f>1.5+1</f>
        <v>2.5</v>
      </c>
      <c r="BW13" s="13">
        <f t="shared" si="18"/>
        <v>8.5</v>
      </c>
      <c r="BX13" s="62">
        <v>6</v>
      </c>
      <c r="BY13" s="143">
        <f>2.75+2+1</f>
        <v>5.75</v>
      </c>
      <c r="BZ13" s="13">
        <f t="shared" si="19"/>
        <v>8.75</v>
      </c>
      <c r="CA13" s="62"/>
      <c r="CB13" s="143"/>
      <c r="CC13" s="13">
        <f t="shared" si="20"/>
        <v>8.75</v>
      </c>
      <c r="CD13" s="62"/>
      <c r="CE13" s="143">
        <f>1</f>
        <v>1</v>
      </c>
      <c r="CF13" s="13">
        <f t="shared" si="21"/>
        <v>7.75</v>
      </c>
      <c r="CG13" s="62"/>
      <c r="CH13" s="143"/>
      <c r="CI13" s="13">
        <f>CF13+CG13-CH13</f>
        <v>7.75</v>
      </c>
      <c r="CJ13" s="62">
        <v>6</v>
      </c>
      <c r="CK13" s="143">
        <f>1.5</f>
        <v>1.5</v>
      </c>
      <c r="CL13" s="13">
        <f>CI13+CJ13-CK13</f>
        <v>12.25</v>
      </c>
      <c r="CM13" s="61">
        <v>6</v>
      </c>
      <c r="CN13" s="143">
        <f>1+0.75+1+1</f>
        <v>3.75</v>
      </c>
      <c r="CO13" s="13">
        <f t="shared" si="22"/>
        <v>14.5</v>
      </c>
      <c r="CP13" s="61"/>
      <c r="CQ13" s="143">
        <f>2</f>
        <v>2</v>
      </c>
      <c r="CR13" s="13">
        <f t="shared" si="33"/>
        <v>12.5</v>
      </c>
      <c r="CS13" s="62"/>
      <c r="CT13" s="143">
        <f>1+1.5+0.75+1.5+1.5+1</f>
        <v>7.25</v>
      </c>
      <c r="CU13" s="14">
        <f t="shared" si="23"/>
        <v>5.25</v>
      </c>
      <c r="CV13" s="5">
        <f t="shared" si="24"/>
        <v>71</v>
      </c>
      <c r="CW13" s="4">
        <f t="shared" si="24"/>
        <v>69.75</v>
      </c>
      <c r="CX13" s="6">
        <f t="shared" si="25"/>
        <v>5.25</v>
      </c>
      <c r="CY13" s="162">
        <v>760</v>
      </c>
      <c r="CZ13" s="171">
        <f t="shared" si="26"/>
        <v>3990</v>
      </c>
      <c r="DB13" s="2">
        <f t="shared" si="34"/>
        <v>5.25</v>
      </c>
      <c r="DC13" s="62"/>
      <c r="DD13" s="143"/>
      <c r="DE13" s="149">
        <f t="shared" si="35"/>
        <v>5.25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16.5</v>
      </c>
      <c r="G14" s="62">
        <f>-2+32</f>
        <v>30</v>
      </c>
      <c r="H14" s="143">
        <f>1+3+1+11</f>
        <v>16</v>
      </c>
      <c r="I14" s="13">
        <f t="shared" si="0"/>
        <v>30.5</v>
      </c>
      <c r="J14" s="62"/>
      <c r="K14" s="143">
        <f>2+1.5+2</f>
        <v>5.5</v>
      </c>
      <c r="L14" s="13">
        <f t="shared" si="1"/>
        <v>25</v>
      </c>
      <c r="M14" s="62">
        <v>16</v>
      </c>
      <c r="N14" s="143">
        <f>1+1+1+1+1+1+1+13</f>
        <v>20</v>
      </c>
      <c r="O14" s="13">
        <f t="shared" si="2"/>
        <v>21</v>
      </c>
      <c r="P14" s="62">
        <v>16</v>
      </c>
      <c r="Q14" s="143">
        <f>0.5+0.5+9</f>
        <v>10</v>
      </c>
      <c r="R14" s="30">
        <f t="shared" si="3"/>
        <v>27</v>
      </c>
      <c r="S14" s="62">
        <v>16</v>
      </c>
      <c r="T14" s="143">
        <f>4+2+18</f>
        <v>24</v>
      </c>
      <c r="U14" s="13">
        <f t="shared" si="4"/>
        <v>19</v>
      </c>
      <c r="V14" s="62"/>
      <c r="W14" s="143"/>
      <c r="X14" s="13">
        <f t="shared" si="5"/>
        <v>19</v>
      </c>
      <c r="Y14" s="62">
        <v>24</v>
      </c>
      <c r="Z14" s="143">
        <f>2+10</f>
        <v>12</v>
      </c>
      <c r="AA14" s="13">
        <f t="shared" si="27"/>
        <v>31</v>
      </c>
      <c r="AB14" s="62">
        <v>24</v>
      </c>
      <c r="AC14" s="143">
        <f>2+2+2+1.5+1.5+1+20+1</f>
        <v>31</v>
      </c>
      <c r="AD14" s="13">
        <f t="shared" si="28"/>
        <v>24</v>
      </c>
      <c r="AE14" s="62"/>
      <c r="AF14" s="143">
        <f>2+1+1+1</f>
        <v>5</v>
      </c>
      <c r="AG14" s="13">
        <f t="shared" si="29"/>
        <v>19</v>
      </c>
      <c r="AH14" s="62">
        <v>16</v>
      </c>
      <c r="AI14" s="143">
        <f>2+15</f>
        <v>17</v>
      </c>
      <c r="AJ14" s="13">
        <f t="shared" si="30"/>
        <v>18</v>
      </c>
      <c r="AK14" s="62">
        <v>32</v>
      </c>
      <c r="AL14" s="143">
        <f>1+11</f>
        <v>12</v>
      </c>
      <c r="AM14" s="13">
        <f t="shared" si="6"/>
        <v>38</v>
      </c>
      <c r="AN14" s="62">
        <v>16</v>
      </c>
      <c r="AO14" s="143">
        <f>4+1+2+14</f>
        <v>21</v>
      </c>
      <c r="AP14" s="13">
        <f t="shared" si="7"/>
        <v>33</v>
      </c>
      <c r="AQ14" s="62"/>
      <c r="AR14" s="143"/>
      <c r="AS14" s="13">
        <f t="shared" si="8"/>
        <v>33</v>
      </c>
      <c r="AT14" s="62">
        <v>16</v>
      </c>
      <c r="AU14" s="143">
        <f>2+1.5+2+1+12</f>
        <v>18.5</v>
      </c>
      <c r="AV14" s="13">
        <f t="shared" si="9"/>
        <v>30.5</v>
      </c>
      <c r="AW14" s="62">
        <v>24</v>
      </c>
      <c r="AX14" s="143">
        <f>0.5+3+1.5+1+1+1+12</f>
        <v>20</v>
      </c>
      <c r="AY14" s="180">
        <f t="shared" si="10"/>
        <v>34.5</v>
      </c>
      <c r="AZ14" s="61"/>
      <c r="BA14" s="143">
        <f>1+2+1.5+1.5+2</f>
        <v>8</v>
      </c>
      <c r="BB14" s="13">
        <f t="shared" si="11"/>
        <v>26.5</v>
      </c>
      <c r="BC14" s="62">
        <v>8</v>
      </c>
      <c r="BD14" s="143">
        <f>1.5+7</f>
        <v>8.5</v>
      </c>
      <c r="BE14" s="13">
        <f t="shared" si="12"/>
        <v>26</v>
      </c>
      <c r="BF14" s="62">
        <v>24</v>
      </c>
      <c r="BG14" s="143">
        <f>0.5+0.5+8</f>
        <v>9</v>
      </c>
      <c r="BH14" s="13">
        <f t="shared" si="13"/>
        <v>41</v>
      </c>
      <c r="BI14" s="62">
        <v>24</v>
      </c>
      <c r="BJ14" s="143">
        <f>2+17</f>
        <v>19</v>
      </c>
      <c r="BK14" s="13">
        <f t="shared" si="14"/>
        <v>46</v>
      </c>
      <c r="BL14" s="62"/>
      <c r="BM14" s="143"/>
      <c r="BN14" s="13">
        <f t="shared" si="15"/>
        <v>46</v>
      </c>
      <c r="BO14" s="62"/>
      <c r="BP14" s="143">
        <f>12</f>
        <v>12</v>
      </c>
      <c r="BQ14" s="13">
        <f t="shared" si="16"/>
        <v>34</v>
      </c>
      <c r="BR14" s="62">
        <v>16</v>
      </c>
      <c r="BS14" s="143">
        <f>1+2+2+1+2+2+1+17</f>
        <v>28</v>
      </c>
      <c r="BT14" s="13">
        <f t="shared" si="17"/>
        <v>22</v>
      </c>
      <c r="BU14" s="62"/>
      <c r="BV14" s="143">
        <f>2</f>
        <v>2</v>
      </c>
      <c r="BW14" s="13">
        <f t="shared" si="18"/>
        <v>20</v>
      </c>
      <c r="BX14" s="62">
        <v>16</v>
      </c>
      <c r="BY14" s="143">
        <f>1+11+1+1+1</f>
        <v>15</v>
      </c>
      <c r="BZ14" s="13">
        <f t="shared" si="19"/>
        <v>21</v>
      </c>
      <c r="CA14" s="62">
        <v>24</v>
      </c>
      <c r="CB14" s="143">
        <f>0.5+16</f>
        <v>16.5</v>
      </c>
      <c r="CC14" s="13">
        <f t="shared" si="20"/>
        <v>28.5</v>
      </c>
      <c r="CD14" s="62">
        <f>-1-3-5+40</f>
        <v>31</v>
      </c>
      <c r="CE14" s="143">
        <v>28</v>
      </c>
      <c r="CF14" s="13">
        <f t="shared" si="21"/>
        <v>31.5</v>
      </c>
      <c r="CG14" s="62"/>
      <c r="CH14" s="143"/>
      <c r="CI14" s="13">
        <f t="shared" si="31"/>
        <v>31.5</v>
      </c>
      <c r="CJ14" s="62">
        <f>16+2</f>
        <v>18</v>
      </c>
      <c r="CK14" s="143">
        <f>0.5+2+2+1+1.5+7</f>
        <v>14</v>
      </c>
      <c r="CL14" s="13">
        <f t="shared" si="32"/>
        <v>35.5</v>
      </c>
      <c r="CM14" s="61">
        <v>8</v>
      </c>
      <c r="CN14" s="143">
        <f>3+1.5+1.5+1+9</f>
        <v>16</v>
      </c>
      <c r="CO14" s="13">
        <f t="shared" si="22"/>
        <v>27.5</v>
      </c>
      <c r="CP14" s="61"/>
      <c r="CQ14" s="143">
        <f>1+1+1</f>
        <v>3</v>
      </c>
      <c r="CR14" s="13">
        <f t="shared" si="33"/>
        <v>24.5</v>
      </c>
      <c r="CS14" s="62"/>
      <c r="CT14" s="143">
        <f>2+1+1+9</f>
        <v>13</v>
      </c>
      <c r="CU14" s="14">
        <f t="shared" si="23"/>
        <v>11.5</v>
      </c>
      <c r="CV14" s="5">
        <f t="shared" si="24"/>
        <v>399</v>
      </c>
      <c r="CW14" s="4">
        <f t="shared" si="24"/>
        <v>404</v>
      </c>
      <c r="CX14" s="6">
        <f t="shared" si="25"/>
        <v>11.5</v>
      </c>
      <c r="CY14" s="162">
        <v>125</v>
      </c>
      <c r="CZ14" s="171">
        <f t="shared" si="26"/>
        <v>1437.5</v>
      </c>
      <c r="DB14" s="2">
        <f t="shared" si="34"/>
        <v>11.5</v>
      </c>
      <c r="DC14" s="62"/>
      <c r="DD14" s="143"/>
      <c r="DE14" s="149">
        <f t="shared" si="35"/>
        <v>11.5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60</v>
      </c>
      <c r="G15" s="62">
        <f>45*3</f>
        <v>135</v>
      </c>
      <c r="H15" s="143">
        <f>10+7+30+10+2</f>
        <v>59</v>
      </c>
      <c r="I15" s="13">
        <f t="shared" si="0"/>
        <v>136</v>
      </c>
      <c r="J15" s="62"/>
      <c r="K15" s="143">
        <f>8+10</f>
        <v>18</v>
      </c>
      <c r="L15" s="13">
        <f t="shared" si="1"/>
        <v>118</v>
      </c>
      <c r="M15" s="62"/>
      <c r="N15" s="143">
        <f>30+9+9+9+7</f>
        <v>64</v>
      </c>
      <c r="O15" s="13">
        <f t="shared" si="2"/>
        <v>54</v>
      </c>
      <c r="P15" s="62">
        <v>45</v>
      </c>
      <c r="Q15" s="143">
        <f>1+2</f>
        <v>3</v>
      </c>
      <c r="R15" s="30">
        <f t="shared" si="3"/>
        <v>96</v>
      </c>
      <c r="S15" s="62">
        <v>45</v>
      </c>
      <c r="T15" s="143">
        <f>30+21+5+7+2</f>
        <v>65</v>
      </c>
      <c r="U15" s="13">
        <f t="shared" si="4"/>
        <v>76</v>
      </c>
      <c r="V15" s="62"/>
      <c r="W15" s="143"/>
      <c r="X15" s="13">
        <f t="shared" si="5"/>
        <v>76</v>
      </c>
      <c r="Y15" s="62">
        <f>45+20</f>
        <v>65</v>
      </c>
      <c r="Z15" s="143">
        <f>6+7+8+6+9+8</f>
        <v>44</v>
      </c>
      <c r="AA15" s="13">
        <f t="shared" si="27"/>
        <v>97</v>
      </c>
      <c r="AB15" s="62">
        <v>45</v>
      </c>
      <c r="AC15" s="143">
        <f>1+20+5+6+7+6+8</f>
        <v>53</v>
      </c>
      <c r="AD15" s="13">
        <f t="shared" si="28"/>
        <v>89</v>
      </c>
      <c r="AE15" s="62">
        <v>10</v>
      </c>
      <c r="AF15" s="143">
        <f>3+9+2+5</f>
        <v>19</v>
      </c>
      <c r="AG15" s="13">
        <f t="shared" si="29"/>
        <v>80</v>
      </c>
      <c r="AH15" s="62">
        <v>45</v>
      </c>
      <c r="AI15" s="143">
        <f>20+13+9+7</f>
        <v>49</v>
      </c>
      <c r="AJ15" s="13">
        <f t="shared" si="30"/>
        <v>76</v>
      </c>
      <c r="AK15" s="62">
        <v>90</v>
      </c>
      <c r="AL15" s="143">
        <f>13+5</f>
        <v>18</v>
      </c>
      <c r="AM15" s="13">
        <f t="shared" si="6"/>
        <v>148</v>
      </c>
      <c r="AN15" s="62"/>
      <c r="AO15" s="143">
        <f>30+7+15+3</f>
        <v>55</v>
      </c>
      <c r="AP15" s="13">
        <f t="shared" si="7"/>
        <v>93</v>
      </c>
      <c r="AQ15" s="62"/>
      <c r="AR15" s="143"/>
      <c r="AS15" s="13">
        <f t="shared" si="8"/>
        <v>93</v>
      </c>
      <c r="AT15" s="184">
        <v>45</v>
      </c>
      <c r="AU15" s="143">
        <f>9+10+12+5</f>
        <v>36</v>
      </c>
      <c r="AV15" s="13">
        <f t="shared" si="9"/>
        <v>102</v>
      </c>
      <c r="AW15" s="62">
        <v>90</v>
      </c>
      <c r="AX15" s="143">
        <f>20+10+7+7+10+2</f>
        <v>56</v>
      </c>
      <c r="AY15" s="13">
        <f t="shared" si="10"/>
        <v>136</v>
      </c>
      <c r="AZ15" s="202"/>
      <c r="BA15" s="143">
        <f>10+8+30</f>
        <v>48</v>
      </c>
      <c r="BB15" s="13">
        <f t="shared" si="11"/>
        <v>88</v>
      </c>
      <c r="BC15" s="62">
        <v>45</v>
      </c>
      <c r="BD15" s="143">
        <f>9+4+4+21</f>
        <v>38</v>
      </c>
      <c r="BE15" s="13">
        <f t="shared" si="12"/>
        <v>95</v>
      </c>
      <c r="BF15" s="62"/>
      <c r="BG15" s="143">
        <f>1+2+2+2</f>
        <v>7</v>
      </c>
      <c r="BH15" s="13">
        <f t="shared" si="13"/>
        <v>88</v>
      </c>
      <c r="BI15" s="62">
        <v>45</v>
      </c>
      <c r="BJ15" s="143">
        <f>20</f>
        <v>20</v>
      </c>
      <c r="BK15" s="13">
        <f t="shared" si="14"/>
        <v>113</v>
      </c>
      <c r="BL15" s="62"/>
      <c r="BM15" s="143"/>
      <c r="BN15" s="13">
        <f t="shared" si="15"/>
        <v>113</v>
      </c>
      <c r="BO15" s="62"/>
      <c r="BP15" s="143">
        <v>5</v>
      </c>
      <c r="BQ15" s="13">
        <f t="shared" si="16"/>
        <v>108</v>
      </c>
      <c r="BR15" s="62">
        <v>90</v>
      </c>
      <c r="BS15" s="143">
        <f>9+5+7+10+7+9+7+9+8+1+4</f>
        <v>76</v>
      </c>
      <c r="BT15" s="13">
        <f t="shared" si="17"/>
        <v>122</v>
      </c>
      <c r="BU15" s="62"/>
      <c r="BV15" s="143">
        <f>9+9+11+4+5</f>
        <v>38</v>
      </c>
      <c r="BW15" s="13">
        <f t="shared" si="18"/>
        <v>84</v>
      </c>
      <c r="BX15" s="62">
        <v>45</v>
      </c>
      <c r="BY15" s="143">
        <f>13+9+11+20+9+11+7+2-9</f>
        <v>73</v>
      </c>
      <c r="BZ15" s="13">
        <f t="shared" si="19"/>
        <v>56</v>
      </c>
      <c r="CA15" s="62">
        <v>30</v>
      </c>
      <c r="CB15" s="143">
        <f>13+3</f>
        <v>16</v>
      </c>
      <c r="CC15" s="13">
        <f t="shared" si="20"/>
        <v>70</v>
      </c>
      <c r="CD15" s="62">
        <v>45</v>
      </c>
      <c r="CE15" s="143">
        <f>30+6+3+2</f>
        <v>41</v>
      </c>
      <c r="CF15" s="13">
        <f t="shared" si="21"/>
        <v>74</v>
      </c>
      <c r="CG15" s="62"/>
      <c r="CH15" s="143"/>
      <c r="CI15" s="13">
        <f t="shared" si="31"/>
        <v>74</v>
      </c>
      <c r="CJ15" s="62">
        <v>45</v>
      </c>
      <c r="CK15" s="143">
        <f>2+10</f>
        <v>12</v>
      </c>
      <c r="CL15" s="13">
        <f t="shared" si="32"/>
        <v>107</v>
      </c>
      <c r="CM15" s="61">
        <v>45</v>
      </c>
      <c r="CN15" s="143">
        <f>30+7+2+3+5+10+2</f>
        <v>59</v>
      </c>
      <c r="CO15" s="13">
        <f t="shared" si="22"/>
        <v>93</v>
      </c>
      <c r="CP15" s="61">
        <f>10+33</f>
        <v>43</v>
      </c>
      <c r="CQ15" s="143">
        <f>9+10+8</f>
        <v>27</v>
      </c>
      <c r="CR15" s="13">
        <f t="shared" si="33"/>
        <v>109</v>
      </c>
      <c r="CS15" s="62"/>
      <c r="CT15" s="143">
        <f>30+5+11+7+8+4</f>
        <v>65</v>
      </c>
      <c r="CU15" s="14">
        <f t="shared" si="23"/>
        <v>44</v>
      </c>
      <c r="CV15" s="5">
        <f t="shared" si="24"/>
        <v>1048</v>
      </c>
      <c r="CW15" s="4">
        <f t="shared" si="24"/>
        <v>1064</v>
      </c>
      <c r="CX15" s="6">
        <f t="shared" si="25"/>
        <v>44</v>
      </c>
      <c r="CY15" s="162">
        <v>49</v>
      </c>
      <c r="CZ15" s="171">
        <f t="shared" si="26"/>
        <v>2156</v>
      </c>
      <c r="DB15" s="2">
        <f t="shared" si="34"/>
        <v>44</v>
      </c>
      <c r="DC15" s="62"/>
      <c r="DD15" s="143"/>
      <c r="DE15" s="149">
        <f t="shared" si="35"/>
        <v>44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20</v>
      </c>
      <c r="E16" s="34" t="s">
        <v>41</v>
      </c>
      <c r="F16" s="14">
        <v>10</v>
      </c>
      <c r="G16" s="176">
        <f>30-7</f>
        <v>23</v>
      </c>
      <c r="H16" s="143">
        <f>2+2</f>
        <v>4</v>
      </c>
      <c r="I16" s="13">
        <f t="shared" si="0"/>
        <v>29</v>
      </c>
      <c r="J16" s="176"/>
      <c r="K16" s="143">
        <f>3+8</f>
        <v>11</v>
      </c>
      <c r="L16" s="13">
        <f t="shared" si="1"/>
        <v>18</v>
      </c>
      <c r="M16" s="176">
        <v>18</v>
      </c>
      <c r="N16" s="143">
        <f>3</f>
        <v>3</v>
      </c>
      <c r="O16" s="13">
        <f t="shared" si="2"/>
        <v>33</v>
      </c>
      <c r="P16" s="176">
        <v>17</v>
      </c>
      <c r="Q16" s="143">
        <f>18+2+1+1+1+2</f>
        <v>25</v>
      </c>
      <c r="R16" s="30">
        <f t="shared" si="3"/>
        <v>25</v>
      </c>
      <c r="S16" s="176">
        <v>15</v>
      </c>
      <c r="T16" s="143">
        <f>10+4</f>
        <v>14</v>
      </c>
      <c r="U16" s="13">
        <f t="shared" si="4"/>
        <v>26</v>
      </c>
      <c r="V16" s="176"/>
      <c r="W16" s="143"/>
      <c r="X16" s="13">
        <f t="shared" si="5"/>
        <v>26</v>
      </c>
      <c r="Y16" s="176">
        <v>14</v>
      </c>
      <c r="Z16" s="143">
        <f>5+2+4+4</f>
        <v>15</v>
      </c>
      <c r="AA16" s="13">
        <f t="shared" si="27"/>
        <v>25</v>
      </c>
      <c r="AB16" s="176">
        <v>30</v>
      </c>
      <c r="AC16" s="143">
        <f>2+3+2</f>
        <v>7</v>
      </c>
      <c r="AD16" s="13">
        <f t="shared" si="28"/>
        <v>48</v>
      </c>
      <c r="AE16" s="176"/>
      <c r="AF16" s="143">
        <f>4+7</f>
        <v>11</v>
      </c>
      <c r="AG16" s="13">
        <f t="shared" si="29"/>
        <v>37</v>
      </c>
      <c r="AH16" s="176">
        <v>19</v>
      </c>
      <c r="AI16" s="143">
        <f>8+4+2+4+2</f>
        <v>20</v>
      </c>
      <c r="AJ16" s="13">
        <f t="shared" si="30"/>
        <v>36</v>
      </c>
      <c r="AK16" s="176">
        <v>13</v>
      </c>
      <c r="AL16" s="143">
        <f>13+3+1+1+1</f>
        <v>19</v>
      </c>
      <c r="AM16" s="13">
        <f t="shared" si="6"/>
        <v>30</v>
      </c>
      <c r="AN16" s="176">
        <v>18</v>
      </c>
      <c r="AO16" s="143">
        <f>8</f>
        <v>8</v>
      </c>
      <c r="AP16" s="13">
        <f t="shared" si="7"/>
        <v>40</v>
      </c>
      <c r="AQ16" s="176"/>
      <c r="AR16" s="143"/>
      <c r="AS16" s="13">
        <f t="shared" si="8"/>
        <v>40</v>
      </c>
      <c r="AT16" s="176">
        <v>20</v>
      </c>
      <c r="AU16" s="143">
        <f>9+10+4+7</f>
        <v>30</v>
      </c>
      <c r="AV16" s="13">
        <f t="shared" si="9"/>
        <v>30</v>
      </c>
      <c r="AW16" s="176">
        <v>30</v>
      </c>
      <c r="AX16" s="143">
        <f>5+5+4+4</f>
        <v>18</v>
      </c>
      <c r="AY16" s="13">
        <f t="shared" si="10"/>
        <v>42</v>
      </c>
      <c r="AZ16" s="63"/>
      <c r="BA16" s="143">
        <f>5+4+3+8+1</f>
        <v>21</v>
      </c>
      <c r="BB16" s="13">
        <f t="shared" si="11"/>
        <v>21</v>
      </c>
      <c r="BC16" s="176">
        <v>20</v>
      </c>
      <c r="BD16" s="143">
        <f>12</f>
        <v>12</v>
      </c>
      <c r="BE16" s="13">
        <f t="shared" si="12"/>
        <v>29</v>
      </c>
      <c r="BF16" s="176">
        <f>13</f>
        <v>13</v>
      </c>
      <c r="BG16" s="143">
        <f>7+2+11+2</f>
        <v>22</v>
      </c>
      <c r="BH16" s="13">
        <f t="shared" si="13"/>
        <v>20</v>
      </c>
      <c r="BI16" s="176">
        <v>26</v>
      </c>
      <c r="BJ16" s="143">
        <f>5+6</f>
        <v>11</v>
      </c>
      <c r="BK16" s="13">
        <f t="shared" si="14"/>
        <v>35</v>
      </c>
      <c r="BL16" s="176"/>
      <c r="BM16" s="143"/>
      <c r="BN16" s="13">
        <f t="shared" si="15"/>
        <v>35</v>
      </c>
      <c r="BO16" s="176"/>
      <c r="BP16" s="143">
        <v>2</v>
      </c>
      <c r="BQ16" s="13">
        <f t="shared" si="16"/>
        <v>33</v>
      </c>
      <c r="BR16" s="176">
        <v>13</v>
      </c>
      <c r="BS16" s="143">
        <f>5+4+4+2+2</f>
        <v>17</v>
      </c>
      <c r="BT16" s="13">
        <f t="shared" si="17"/>
        <v>29</v>
      </c>
      <c r="BU16" s="176"/>
      <c r="BV16" s="143">
        <f>4+2</f>
        <v>6</v>
      </c>
      <c r="BW16" s="13">
        <f t="shared" si="18"/>
        <v>23</v>
      </c>
      <c r="BX16" s="176">
        <v>11</v>
      </c>
      <c r="BY16" s="143">
        <f>8+2</f>
        <v>10</v>
      </c>
      <c r="BZ16" s="13">
        <f t="shared" si="19"/>
        <v>24</v>
      </c>
      <c r="CA16" s="176"/>
      <c r="CB16" s="143">
        <f>3+2</f>
        <v>5</v>
      </c>
      <c r="CC16" s="13">
        <f t="shared" si="20"/>
        <v>19</v>
      </c>
      <c r="CD16" s="176">
        <v>40</v>
      </c>
      <c r="CE16" s="143">
        <f>3+6</f>
        <v>9</v>
      </c>
      <c r="CF16" s="13">
        <f t="shared" si="21"/>
        <v>50</v>
      </c>
      <c r="CG16" s="176"/>
      <c r="CH16" s="143"/>
      <c r="CI16" s="13">
        <f t="shared" si="31"/>
        <v>50</v>
      </c>
      <c r="CJ16" s="176">
        <v>23</v>
      </c>
      <c r="CK16" s="143">
        <f>9+10+2+4+4+7+2</f>
        <v>38</v>
      </c>
      <c r="CL16" s="13">
        <f t="shared" si="32"/>
        <v>35</v>
      </c>
      <c r="CM16" s="63">
        <v>39</v>
      </c>
      <c r="CN16" s="143">
        <f>9+3+3+2</f>
        <v>17</v>
      </c>
      <c r="CO16" s="13">
        <f t="shared" si="22"/>
        <v>57</v>
      </c>
      <c r="CP16" s="63"/>
      <c r="CQ16" s="143">
        <f>8+8+7+7</f>
        <v>30</v>
      </c>
      <c r="CR16" s="13">
        <f t="shared" si="33"/>
        <v>27</v>
      </c>
      <c r="CS16" s="176">
        <v>10</v>
      </c>
      <c r="CT16" s="143">
        <f>3+8+5+1+2</f>
        <v>19</v>
      </c>
      <c r="CU16" s="14">
        <f t="shared" si="23"/>
        <v>18</v>
      </c>
      <c r="CV16" s="5">
        <f t="shared" si="24"/>
        <v>412</v>
      </c>
      <c r="CW16" s="4">
        <f t="shared" si="24"/>
        <v>404</v>
      </c>
      <c r="CX16" s="6">
        <f t="shared" si="25"/>
        <v>18</v>
      </c>
      <c r="CY16" s="162">
        <v>90</v>
      </c>
      <c r="CZ16" s="171">
        <f t="shared" si="26"/>
        <v>1620</v>
      </c>
      <c r="DB16" s="2">
        <f t="shared" si="34"/>
        <v>18</v>
      </c>
      <c r="DC16" s="176"/>
      <c r="DD16" s="143"/>
      <c r="DE16" s="149">
        <f t="shared" si="35"/>
        <v>18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17</v>
      </c>
      <c r="G17" s="62">
        <f>-33+15+40</f>
        <v>22</v>
      </c>
      <c r="H17" s="143">
        <f>4+13</f>
        <v>17</v>
      </c>
      <c r="I17" s="13">
        <f t="shared" si="0"/>
        <v>22</v>
      </c>
      <c r="J17" s="62"/>
      <c r="K17" s="143"/>
      <c r="L17" s="13">
        <f t="shared" si="1"/>
        <v>22</v>
      </c>
      <c r="M17" s="62">
        <f>15+20-1</f>
        <v>34</v>
      </c>
      <c r="N17" s="143">
        <v>20</v>
      </c>
      <c r="O17" s="13">
        <f t="shared" si="2"/>
        <v>36</v>
      </c>
      <c r="P17" s="62">
        <f>15+20</f>
        <v>35</v>
      </c>
      <c r="Q17" s="143">
        <f>3+20</f>
        <v>23</v>
      </c>
      <c r="R17" s="30">
        <f t="shared" si="3"/>
        <v>48</v>
      </c>
      <c r="S17" s="62">
        <f>-3+15+20</f>
        <v>32</v>
      </c>
      <c r="T17" s="143">
        <f>3+45</f>
        <v>48</v>
      </c>
      <c r="U17" s="13">
        <f t="shared" si="4"/>
        <v>32</v>
      </c>
      <c r="V17" s="62"/>
      <c r="W17" s="143"/>
      <c r="X17" s="13">
        <f t="shared" si="5"/>
        <v>32</v>
      </c>
      <c r="Y17" s="62">
        <f>20</f>
        <v>20</v>
      </c>
      <c r="Z17" s="143">
        <f>3+15</f>
        <v>18</v>
      </c>
      <c r="AA17" s="13">
        <f t="shared" si="27"/>
        <v>34</v>
      </c>
      <c r="AB17" s="62">
        <f>-1+15+20+4</f>
        <v>38</v>
      </c>
      <c r="AC17" s="143">
        <f>6+22+2+4</f>
        <v>34</v>
      </c>
      <c r="AD17" s="13">
        <f t="shared" si="28"/>
        <v>38</v>
      </c>
      <c r="AE17" s="62"/>
      <c r="AF17" s="143"/>
      <c r="AG17" s="13">
        <f t="shared" si="29"/>
        <v>38</v>
      </c>
      <c r="AH17" s="62">
        <f>10+15+5</f>
        <v>30</v>
      </c>
      <c r="AI17" s="143">
        <f>6+27</f>
        <v>33</v>
      </c>
      <c r="AJ17" s="13">
        <f t="shared" si="30"/>
        <v>35</v>
      </c>
      <c r="AK17" s="62">
        <f>15+20</f>
        <v>35</v>
      </c>
      <c r="AL17" s="143">
        <f>3+17</f>
        <v>20</v>
      </c>
      <c r="AM17" s="13">
        <f t="shared" si="6"/>
        <v>50</v>
      </c>
      <c r="AN17" s="62">
        <f>-14+15+40</f>
        <v>41</v>
      </c>
      <c r="AO17" s="143">
        <f>3+3+44</f>
        <v>50</v>
      </c>
      <c r="AP17" s="13">
        <f t="shared" si="7"/>
        <v>41</v>
      </c>
      <c r="AQ17" s="62"/>
      <c r="AR17" s="143"/>
      <c r="AS17" s="13">
        <f t="shared" si="8"/>
        <v>41</v>
      </c>
      <c r="AT17" s="62">
        <f>15</f>
        <v>15</v>
      </c>
      <c r="AU17" s="143">
        <f>9+19</f>
        <v>28</v>
      </c>
      <c r="AV17" s="13">
        <f t="shared" si="9"/>
        <v>28</v>
      </c>
      <c r="AW17" s="62">
        <f>-20+10+10</f>
        <v>0</v>
      </c>
      <c r="AX17" s="143">
        <f>2+26</f>
        <v>28</v>
      </c>
      <c r="AY17" s="13">
        <f t="shared" si="10"/>
        <v>0</v>
      </c>
      <c r="AZ17" s="61"/>
      <c r="BA17" s="143"/>
      <c r="BB17" s="13">
        <f t="shared" si="11"/>
        <v>0</v>
      </c>
      <c r="BC17" s="62">
        <f>-12+15+10+20</f>
        <v>33</v>
      </c>
      <c r="BD17" s="143"/>
      <c r="BE17" s="13">
        <f t="shared" si="12"/>
        <v>33</v>
      </c>
      <c r="BF17" s="62">
        <f>40+15</f>
        <v>55</v>
      </c>
      <c r="BG17" s="143">
        <v>28</v>
      </c>
      <c r="BH17" s="13">
        <f t="shared" si="13"/>
        <v>60</v>
      </c>
      <c r="BI17" s="62">
        <f>-1+15+40+20+10</f>
        <v>84</v>
      </c>
      <c r="BJ17" s="143">
        <f>5+55</f>
        <v>60</v>
      </c>
      <c r="BK17" s="13">
        <f t="shared" si="14"/>
        <v>84</v>
      </c>
      <c r="BL17" s="62"/>
      <c r="BM17" s="143"/>
      <c r="BN17" s="13">
        <f t="shared" si="15"/>
        <v>84</v>
      </c>
      <c r="BO17" s="62"/>
      <c r="BP17" s="143">
        <f>3+46+1</f>
        <v>50</v>
      </c>
      <c r="BQ17" s="13">
        <f t="shared" si="16"/>
        <v>34</v>
      </c>
      <c r="BR17" s="62">
        <f>15+10+2</f>
        <v>27</v>
      </c>
      <c r="BS17" s="143">
        <f>6+12</f>
        <v>18</v>
      </c>
      <c r="BT17" s="13">
        <f t="shared" si="17"/>
        <v>43</v>
      </c>
      <c r="BU17" s="62"/>
      <c r="BV17" s="143"/>
      <c r="BW17" s="13">
        <f t="shared" si="18"/>
        <v>43</v>
      </c>
      <c r="BX17" s="62">
        <v>15</v>
      </c>
      <c r="BY17" s="143">
        <f>4+6</f>
        <v>10</v>
      </c>
      <c r="BZ17" s="13">
        <f t="shared" si="19"/>
        <v>48</v>
      </c>
      <c r="CA17" s="62">
        <f>15+20+7</f>
        <v>42</v>
      </c>
      <c r="CB17" s="143">
        <f>4+14</f>
        <v>18</v>
      </c>
      <c r="CC17" s="13">
        <f t="shared" si="20"/>
        <v>72</v>
      </c>
      <c r="CD17" s="62">
        <f>15</f>
        <v>15</v>
      </c>
      <c r="CE17" s="143">
        <f>6+49</f>
        <v>55</v>
      </c>
      <c r="CF17" s="13">
        <f t="shared" si="21"/>
        <v>32</v>
      </c>
      <c r="CG17" s="62"/>
      <c r="CH17" s="143"/>
      <c r="CI17" s="13">
        <f t="shared" si="31"/>
        <v>32</v>
      </c>
      <c r="CJ17" s="62">
        <f>15+13</f>
        <v>28</v>
      </c>
      <c r="CK17" s="143">
        <f>3+9</f>
        <v>12</v>
      </c>
      <c r="CL17" s="13">
        <f t="shared" si="32"/>
        <v>48</v>
      </c>
      <c r="CM17" s="61">
        <v>15</v>
      </c>
      <c r="CN17" s="143">
        <v>34</v>
      </c>
      <c r="CO17" s="13">
        <f t="shared" si="22"/>
        <v>29</v>
      </c>
      <c r="CP17" s="61"/>
      <c r="CQ17" s="143"/>
      <c r="CR17" s="13">
        <f t="shared" si="33"/>
        <v>29</v>
      </c>
      <c r="CS17" s="62">
        <v>15</v>
      </c>
      <c r="CT17" s="143">
        <f>4+10</f>
        <v>14</v>
      </c>
      <c r="CU17" s="14">
        <f t="shared" si="23"/>
        <v>30</v>
      </c>
      <c r="CV17" s="5">
        <f t="shared" si="24"/>
        <v>631</v>
      </c>
      <c r="CW17" s="4">
        <f t="shared" si="24"/>
        <v>618</v>
      </c>
      <c r="CX17" s="6">
        <f t="shared" si="25"/>
        <v>30</v>
      </c>
      <c r="CY17" s="162">
        <v>300</v>
      </c>
      <c r="CZ17" s="171">
        <f t="shared" si="26"/>
        <v>9000</v>
      </c>
      <c r="DB17" s="2">
        <f t="shared" si="34"/>
        <v>30</v>
      </c>
      <c r="DC17" s="62"/>
      <c r="DD17" s="143"/>
      <c r="DE17" s="149">
        <f t="shared" si="35"/>
        <v>30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3</v>
      </c>
      <c r="G18" s="62">
        <v>4</v>
      </c>
      <c r="H18" s="143">
        <v>2.6</v>
      </c>
      <c r="I18" s="13">
        <f t="shared" si="0"/>
        <v>4.4000000000000004</v>
      </c>
      <c r="J18" s="62"/>
      <c r="K18" s="143"/>
      <c r="L18" s="13">
        <f t="shared" si="1"/>
        <v>4.4000000000000004</v>
      </c>
      <c r="M18" s="62"/>
      <c r="N18" s="143"/>
      <c r="O18" s="13">
        <f t="shared" si="2"/>
        <v>4.4000000000000004</v>
      </c>
      <c r="P18" s="62"/>
      <c r="Q18" s="143"/>
      <c r="R18" s="30">
        <f t="shared" si="3"/>
        <v>4.4000000000000004</v>
      </c>
      <c r="S18" s="62">
        <v>4</v>
      </c>
      <c r="T18" s="143"/>
      <c r="U18" s="13">
        <f t="shared" si="4"/>
        <v>8.4</v>
      </c>
      <c r="V18" s="62"/>
      <c r="W18" s="143"/>
      <c r="X18" s="13">
        <f t="shared" si="5"/>
        <v>8.4</v>
      </c>
      <c r="Y18" s="62"/>
      <c r="Z18" s="143">
        <v>5.8</v>
      </c>
      <c r="AA18" s="13">
        <f t="shared" si="27"/>
        <v>2.6000000000000005</v>
      </c>
      <c r="AB18" s="62"/>
      <c r="AC18" s="143"/>
      <c r="AD18" s="13">
        <f t="shared" si="28"/>
        <v>2.6000000000000005</v>
      </c>
      <c r="AE18" s="62"/>
      <c r="AF18" s="143"/>
      <c r="AG18" s="13">
        <f t="shared" si="29"/>
        <v>2.6000000000000005</v>
      </c>
      <c r="AH18" s="62"/>
      <c r="AI18" s="143"/>
      <c r="AJ18" s="13">
        <f t="shared" si="30"/>
        <v>2.6000000000000005</v>
      </c>
      <c r="AK18" s="62"/>
      <c r="AL18" s="143">
        <f>0.4</f>
        <v>0.4</v>
      </c>
      <c r="AM18" s="13">
        <f t="shared" si="6"/>
        <v>2.2000000000000006</v>
      </c>
      <c r="AN18" s="62"/>
      <c r="AO18" s="143"/>
      <c r="AP18" s="13">
        <f t="shared" si="7"/>
        <v>2.2000000000000006</v>
      </c>
      <c r="AQ18" s="62"/>
      <c r="AR18" s="143"/>
      <c r="AS18" s="13">
        <f t="shared" si="8"/>
        <v>2.2000000000000006</v>
      </c>
      <c r="AT18" s="64"/>
      <c r="AU18" s="143"/>
      <c r="AV18" s="13">
        <f t="shared" si="9"/>
        <v>2.2000000000000006</v>
      </c>
      <c r="AW18" s="62"/>
      <c r="AX18" s="143"/>
      <c r="AY18" s="13">
        <f t="shared" si="10"/>
        <v>2.2000000000000006</v>
      </c>
      <c r="AZ18" s="183"/>
      <c r="BA18" s="143"/>
      <c r="BB18" s="13">
        <f t="shared" si="11"/>
        <v>2.2000000000000006</v>
      </c>
      <c r="BC18" s="62"/>
      <c r="BD18" s="143"/>
      <c r="BE18" s="13">
        <f t="shared" si="12"/>
        <v>2.2000000000000006</v>
      </c>
      <c r="BF18" s="62"/>
      <c r="BG18" s="143"/>
      <c r="BH18" s="13">
        <f t="shared" si="13"/>
        <v>2.2000000000000006</v>
      </c>
      <c r="BI18" s="62"/>
      <c r="BJ18" s="143"/>
      <c r="BK18" s="13">
        <f t="shared" si="14"/>
        <v>2.2000000000000006</v>
      </c>
      <c r="BL18" s="62"/>
      <c r="BM18" s="143"/>
      <c r="BN18" s="13">
        <f t="shared" si="15"/>
        <v>2.2000000000000006</v>
      </c>
      <c r="BO18" s="62"/>
      <c r="BP18" s="143"/>
      <c r="BQ18" s="13">
        <f t="shared" si="16"/>
        <v>2.2000000000000006</v>
      </c>
      <c r="BR18" s="62"/>
      <c r="BS18" s="143"/>
      <c r="BT18" s="13">
        <f t="shared" si="17"/>
        <v>2.2000000000000006</v>
      </c>
      <c r="BU18" s="62"/>
      <c r="BV18" s="143"/>
      <c r="BW18" s="13">
        <f t="shared" si="18"/>
        <v>2.2000000000000006</v>
      </c>
      <c r="BX18" s="62"/>
      <c r="BY18" s="143"/>
      <c r="BZ18" s="13">
        <f t="shared" si="19"/>
        <v>2.2000000000000006</v>
      </c>
      <c r="CA18" s="62"/>
      <c r="CB18" s="143">
        <f>0.4</f>
        <v>0.4</v>
      </c>
      <c r="CC18" s="13">
        <f t="shared" si="20"/>
        <v>1.8000000000000007</v>
      </c>
      <c r="CD18" s="62"/>
      <c r="CE18" s="143"/>
      <c r="CF18" s="13">
        <f t="shared" si="21"/>
        <v>1.8000000000000007</v>
      </c>
      <c r="CG18" s="62"/>
      <c r="CH18" s="143"/>
      <c r="CI18" s="13">
        <f t="shared" si="31"/>
        <v>1.8000000000000007</v>
      </c>
      <c r="CJ18" s="62">
        <f>4+3</f>
        <v>7</v>
      </c>
      <c r="CK18" s="143"/>
      <c r="CL18" s="13">
        <f t="shared" si="32"/>
        <v>8.8000000000000007</v>
      </c>
      <c r="CM18" s="61"/>
      <c r="CN18" s="143">
        <v>4.0999999999999996</v>
      </c>
      <c r="CO18" s="13">
        <f t="shared" si="22"/>
        <v>4.7000000000000011</v>
      </c>
      <c r="CP18" s="61">
        <f>1.4</f>
        <v>1.4</v>
      </c>
      <c r="CQ18" s="143"/>
      <c r="CR18" s="13">
        <f t="shared" si="33"/>
        <v>6.1000000000000014</v>
      </c>
      <c r="CS18" s="62">
        <v>4</v>
      </c>
      <c r="CT18" s="143">
        <f>1.5</f>
        <v>1.5</v>
      </c>
      <c r="CU18" s="14">
        <f t="shared" si="23"/>
        <v>8.6000000000000014</v>
      </c>
      <c r="CV18" s="5">
        <f t="shared" si="24"/>
        <v>20.399999999999999</v>
      </c>
      <c r="CW18" s="4">
        <f t="shared" si="24"/>
        <v>14.8</v>
      </c>
      <c r="CX18" s="6">
        <f t="shared" si="25"/>
        <v>8.6000000000000014</v>
      </c>
      <c r="CY18" s="162">
        <v>500</v>
      </c>
      <c r="CZ18" s="171">
        <f t="shared" si="26"/>
        <v>4300.0000000000009</v>
      </c>
      <c r="DB18" s="2">
        <f t="shared" si="34"/>
        <v>8.6000000000000014</v>
      </c>
      <c r="DC18" s="62"/>
      <c r="DD18" s="143"/>
      <c r="DE18" s="149">
        <f t="shared" si="35"/>
        <v>8.6000000000000014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2.9999999999999942</v>
      </c>
      <c r="G19" s="62">
        <v>4</v>
      </c>
      <c r="H19" s="143">
        <v>2</v>
      </c>
      <c r="I19" s="13">
        <f t="shared" si="0"/>
        <v>4.9999999999999947</v>
      </c>
      <c r="J19" s="62"/>
      <c r="K19" s="143"/>
      <c r="L19" s="13">
        <f t="shared" si="1"/>
        <v>4.9999999999999947</v>
      </c>
      <c r="M19" s="62"/>
      <c r="N19" s="143">
        <v>0.4</v>
      </c>
      <c r="O19" s="13">
        <f t="shared" si="2"/>
        <v>4.5999999999999943</v>
      </c>
      <c r="P19" s="62"/>
      <c r="Q19" s="143"/>
      <c r="R19" s="30">
        <f t="shared" si="3"/>
        <v>4.5999999999999943</v>
      </c>
      <c r="S19" s="62"/>
      <c r="T19" s="143"/>
      <c r="U19" s="13">
        <f t="shared" si="4"/>
        <v>4.5999999999999943</v>
      </c>
      <c r="V19" s="62"/>
      <c r="W19" s="143"/>
      <c r="X19" s="30">
        <f t="shared" si="5"/>
        <v>4.5999999999999943</v>
      </c>
      <c r="Y19" s="62"/>
      <c r="Z19" s="143"/>
      <c r="AA19" s="13">
        <f t="shared" si="27"/>
        <v>4.5999999999999943</v>
      </c>
      <c r="AB19" s="62"/>
      <c r="AC19" s="143"/>
      <c r="AD19" s="13">
        <f t="shared" si="28"/>
        <v>4.5999999999999943</v>
      </c>
      <c r="AE19" s="62"/>
      <c r="AF19" s="143"/>
      <c r="AG19" s="13">
        <f t="shared" si="29"/>
        <v>4.5999999999999943</v>
      </c>
      <c r="AH19" s="62"/>
      <c r="AI19" s="143"/>
      <c r="AJ19" s="13">
        <f t="shared" si="30"/>
        <v>4.5999999999999943</v>
      </c>
      <c r="AK19" s="62"/>
      <c r="AL19" s="143">
        <f>0.8</f>
        <v>0.8</v>
      </c>
      <c r="AM19" s="13">
        <f t="shared" si="6"/>
        <v>3.7999999999999945</v>
      </c>
      <c r="AN19" s="62"/>
      <c r="AO19" s="143"/>
      <c r="AP19" s="13">
        <f t="shared" si="7"/>
        <v>3.7999999999999945</v>
      </c>
      <c r="AQ19" s="62"/>
      <c r="AR19" s="143"/>
      <c r="AS19" s="13">
        <f t="shared" si="8"/>
        <v>3.7999999999999945</v>
      </c>
      <c r="AT19" s="64"/>
      <c r="AU19" s="143"/>
      <c r="AV19" s="13">
        <f t="shared" si="9"/>
        <v>3.7999999999999945</v>
      </c>
      <c r="AW19" s="62"/>
      <c r="AX19" s="143">
        <v>1.9</v>
      </c>
      <c r="AY19" s="13">
        <f t="shared" si="10"/>
        <v>1.8999999999999946</v>
      </c>
      <c r="AZ19" s="183"/>
      <c r="BA19" s="143"/>
      <c r="BB19" s="13">
        <f t="shared" si="11"/>
        <v>1.8999999999999946</v>
      </c>
      <c r="BC19" s="62"/>
      <c r="BD19" s="143">
        <f>0.4</f>
        <v>0.4</v>
      </c>
      <c r="BE19" s="13">
        <f t="shared" si="12"/>
        <v>1.4999999999999947</v>
      </c>
      <c r="BF19" s="62"/>
      <c r="BG19" s="143"/>
      <c r="BH19" s="13">
        <f t="shared" si="13"/>
        <v>1.4999999999999947</v>
      </c>
      <c r="BI19" s="62"/>
      <c r="BJ19" s="143"/>
      <c r="BK19" s="13">
        <f t="shared" si="14"/>
        <v>1.4999999999999947</v>
      </c>
      <c r="BL19" s="62"/>
      <c r="BM19" s="143"/>
      <c r="BN19" s="13">
        <f t="shared" si="15"/>
        <v>1.4999999999999947</v>
      </c>
      <c r="BO19" s="62"/>
      <c r="BP19" s="143"/>
      <c r="BQ19" s="13">
        <f t="shared" si="16"/>
        <v>1.4999999999999947</v>
      </c>
      <c r="BR19" s="62"/>
      <c r="BS19" s="143"/>
      <c r="BT19" s="13">
        <f t="shared" si="17"/>
        <v>1.4999999999999947</v>
      </c>
      <c r="BU19" s="62"/>
      <c r="BV19" s="143"/>
      <c r="BW19" s="13">
        <f t="shared" si="18"/>
        <v>1.4999999999999947</v>
      </c>
      <c r="BX19" s="62"/>
      <c r="BY19" s="143"/>
      <c r="BZ19" s="13">
        <f t="shared" si="19"/>
        <v>1.4999999999999947</v>
      </c>
      <c r="CA19" s="62"/>
      <c r="CB19" s="143"/>
      <c r="CC19" s="13">
        <f t="shared" si="20"/>
        <v>1.4999999999999947</v>
      </c>
      <c r="CD19" s="62"/>
      <c r="CE19" s="143"/>
      <c r="CF19" s="13">
        <f t="shared" si="21"/>
        <v>1.4999999999999947</v>
      </c>
      <c r="CG19" s="62"/>
      <c r="CH19" s="143"/>
      <c r="CI19" s="13">
        <f t="shared" si="31"/>
        <v>1.4999999999999947</v>
      </c>
      <c r="CJ19" s="62">
        <f>4+1</f>
        <v>5</v>
      </c>
      <c r="CK19" s="143"/>
      <c r="CL19" s="13">
        <f t="shared" si="32"/>
        <v>6.4999999999999947</v>
      </c>
      <c r="CM19" s="183">
        <v>2</v>
      </c>
      <c r="CN19" s="143">
        <v>2</v>
      </c>
      <c r="CO19" s="13">
        <f t="shared" si="22"/>
        <v>6.4999999999999947</v>
      </c>
      <c r="CP19" s="61"/>
      <c r="CQ19" s="143"/>
      <c r="CR19" s="13">
        <f t="shared" si="33"/>
        <v>6.4999999999999947</v>
      </c>
      <c r="CS19" s="62"/>
      <c r="CT19" s="143">
        <f>2+3.4</f>
        <v>5.4</v>
      </c>
      <c r="CU19" s="14">
        <f t="shared" si="23"/>
        <v>1.0999999999999943</v>
      </c>
      <c r="CV19" s="5">
        <f t="shared" si="24"/>
        <v>11</v>
      </c>
      <c r="CW19" s="4">
        <f t="shared" si="24"/>
        <v>12.9</v>
      </c>
      <c r="CX19" s="6">
        <f t="shared" si="25"/>
        <v>1.0999999999999943</v>
      </c>
      <c r="CY19" s="162">
        <v>500</v>
      </c>
      <c r="CZ19" s="171">
        <f t="shared" si="26"/>
        <v>549.99999999999716</v>
      </c>
      <c r="DB19" s="2">
        <f t="shared" si="34"/>
        <v>1.0999999999999943</v>
      </c>
      <c r="DC19" s="62"/>
      <c r="DD19" s="143"/>
      <c r="DE19" s="149">
        <f t="shared" si="35"/>
        <v>1.0999999999999943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1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1"/>
      <c r="CN20" s="143"/>
      <c r="CO20" s="13">
        <f t="shared" si="22"/>
        <v>0</v>
      </c>
      <c r="CP20" s="61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2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1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1"/>
      <c r="CN21" s="143"/>
      <c r="CO21" s="13">
        <f t="shared" si="22"/>
        <v>0</v>
      </c>
      <c r="CP21" s="61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2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11.400000000000013</v>
      </c>
      <c r="G22" s="62">
        <v>10</v>
      </c>
      <c r="H22" s="143">
        <f>2.2+2.9</f>
        <v>5.0999999999999996</v>
      </c>
      <c r="I22" s="13">
        <f t="shared" si="0"/>
        <v>16.300000000000011</v>
      </c>
      <c r="J22" s="62"/>
      <c r="K22" s="143">
        <f>5.5</f>
        <v>5.5</v>
      </c>
      <c r="L22" s="13">
        <f t="shared" si="1"/>
        <v>10.800000000000011</v>
      </c>
      <c r="M22" s="62">
        <v>10</v>
      </c>
      <c r="N22" s="143">
        <f>3.5</f>
        <v>3.5</v>
      </c>
      <c r="O22" s="13">
        <f t="shared" si="2"/>
        <v>17.300000000000011</v>
      </c>
      <c r="P22" s="62"/>
      <c r="Q22" s="143">
        <f>8.3+0.7+0.6+0.6</f>
        <v>10.199999999999999</v>
      </c>
      <c r="R22" s="30">
        <f t="shared" si="3"/>
        <v>7.1000000000000121</v>
      </c>
      <c r="S22" s="62"/>
      <c r="T22" s="143"/>
      <c r="U22" s="13">
        <f t="shared" si="4"/>
        <v>7.1000000000000121</v>
      </c>
      <c r="V22" s="62"/>
      <c r="W22" s="143"/>
      <c r="X22" s="13">
        <f t="shared" si="5"/>
        <v>7.1000000000000121</v>
      </c>
      <c r="Y22" s="62">
        <v>10</v>
      </c>
      <c r="Z22" s="143"/>
      <c r="AA22" s="13">
        <f t="shared" si="27"/>
        <v>17.100000000000012</v>
      </c>
      <c r="AB22" s="62"/>
      <c r="AC22" s="143">
        <f>0.2+3</f>
        <v>3.2</v>
      </c>
      <c r="AD22" s="13">
        <f t="shared" si="28"/>
        <v>13.900000000000013</v>
      </c>
      <c r="AE22" s="62"/>
      <c r="AF22" s="143"/>
      <c r="AG22" s="13">
        <f t="shared" si="29"/>
        <v>13.900000000000013</v>
      </c>
      <c r="AH22" s="62"/>
      <c r="AI22" s="143">
        <f>1.1</f>
        <v>1.1000000000000001</v>
      </c>
      <c r="AJ22" s="13">
        <f t="shared" si="30"/>
        <v>12.800000000000013</v>
      </c>
      <c r="AK22" s="62"/>
      <c r="AL22" s="143"/>
      <c r="AM22" s="13">
        <f t="shared" si="6"/>
        <v>12.800000000000013</v>
      </c>
      <c r="AN22" s="62"/>
      <c r="AO22" s="143"/>
      <c r="AP22" s="13">
        <f t="shared" si="7"/>
        <v>12.800000000000013</v>
      </c>
      <c r="AQ22" s="62"/>
      <c r="AR22" s="143"/>
      <c r="AS22" s="13">
        <f t="shared" si="8"/>
        <v>12.800000000000013</v>
      </c>
      <c r="AT22" s="62">
        <v>10</v>
      </c>
      <c r="AU22" s="143">
        <f>4.1</f>
        <v>4.0999999999999996</v>
      </c>
      <c r="AV22" s="13">
        <f t="shared" si="9"/>
        <v>18.70000000000001</v>
      </c>
      <c r="AW22" s="62"/>
      <c r="AX22" s="143">
        <f>2.1+2.8+1.8</f>
        <v>6.7</v>
      </c>
      <c r="AY22" s="13">
        <f t="shared" si="10"/>
        <v>12.000000000000011</v>
      </c>
      <c r="AZ22" s="61"/>
      <c r="BA22" s="143">
        <f>1</f>
        <v>1</v>
      </c>
      <c r="BB22" s="13">
        <f t="shared" si="11"/>
        <v>11.000000000000011</v>
      </c>
      <c r="BC22" s="62">
        <v>20</v>
      </c>
      <c r="BD22" s="143">
        <f>1.5+5.6</f>
        <v>7.1</v>
      </c>
      <c r="BE22" s="13">
        <f t="shared" si="12"/>
        <v>23.900000000000013</v>
      </c>
      <c r="BF22" s="62"/>
      <c r="BG22" s="143">
        <f>2.6+0.7+0.5+1.2+5.7</f>
        <v>10.7</v>
      </c>
      <c r="BH22" s="13">
        <f t="shared" si="13"/>
        <v>13.200000000000014</v>
      </c>
      <c r="BI22" s="62"/>
      <c r="BJ22" s="143"/>
      <c r="BK22" s="13">
        <f t="shared" si="14"/>
        <v>13.200000000000014</v>
      </c>
      <c r="BL22" s="62"/>
      <c r="BM22" s="143"/>
      <c r="BN22" s="13">
        <f t="shared" si="15"/>
        <v>13.200000000000014</v>
      </c>
      <c r="BO22" s="62"/>
      <c r="BP22" s="143"/>
      <c r="BQ22" s="13">
        <f t="shared" si="16"/>
        <v>13.200000000000014</v>
      </c>
      <c r="BR22" s="62"/>
      <c r="BS22" s="143">
        <f>3.1+0.2</f>
        <v>3.3000000000000003</v>
      </c>
      <c r="BT22" s="13">
        <f t="shared" si="17"/>
        <v>9.9000000000000128</v>
      </c>
      <c r="BU22" s="62"/>
      <c r="BV22" s="143">
        <f>3</f>
        <v>3</v>
      </c>
      <c r="BW22" s="13">
        <f t="shared" si="18"/>
        <v>6.9000000000000128</v>
      </c>
      <c r="BX22" s="62">
        <v>10</v>
      </c>
      <c r="BY22" s="143">
        <f>1</f>
        <v>1</v>
      </c>
      <c r="BZ22" s="13">
        <f t="shared" si="19"/>
        <v>15.900000000000013</v>
      </c>
      <c r="CA22" s="62"/>
      <c r="CB22" s="143">
        <f>0.5</f>
        <v>0.5</v>
      </c>
      <c r="CC22" s="13">
        <f t="shared" si="20"/>
        <v>15.400000000000013</v>
      </c>
      <c r="CD22" s="62"/>
      <c r="CE22" s="143">
        <f>0.5</f>
        <v>0.5</v>
      </c>
      <c r="CF22" s="13">
        <f t="shared" si="21"/>
        <v>14.900000000000013</v>
      </c>
      <c r="CG22" s="62"/>
      <c r="CH22" s="143"/>
      <c r="CI22" s="13">
        <f t="shared" si="31"/>
        <v>14.900000000000013</v>
      </c>
      <c r="CJ22" s="62"/>
      <c r="CK22" s="143">
        <f>4.1+2</f>
        <v>6.1</v>
      </c>
      <c r="CL22" s="13">
        <f t="shared" si="32"/>
        <v>8.8000000000000131</v>
      </c>
      <c r="CM22" s="62"/>
      <c r="CN22" s="143">
        <f>2.9</f>
        <v>2.9</v>
      </c>
      <c r="CO22" s="13">
        <f t="shared" si="22"/>
        <v>5.9000000000000128</v>
      </c>
      <c r="CP22" s="62">
        <f>0.6</f>
        <v>0.6</v>
      </c>
      <c r="CQ22" s="143">
        <f>1.5+1</f>
        <v>2.5</v>
      </c>
      <c r="CR22" s="13">
        <f t="shared" si="33"/>
        <v>4.0000000000000124</v>
      </c>
      <c r="CS22" s="62"/>
      <c r="CT22" s="143"/>
      <c r="CU22" s="14">
        <f t="shared" si="23"/>
        <v>4.0000000000000124</v>
      </c>
      <c r="CV22" s="5">
        <f t="shared" si="24"/>
        <v>70.599999999999994</v>
      </c>
      <c r="CW22" s="4">
        <f t="shared" si="24"/>
        <v>78</v>
      </c>
      <c r="CX22" s="6">
        <f t="shared" si="25"/>
        <v>4.0000000000000124</v>
      </c>
      <c r="CY22" s="162">
        <v>160</v>
      </c>
      <c r="CZ22" s="171">
        <f t="shared" si="26"/>
        <v>640.00000000000205</v>
      </c>
      <c r="DB22" s="2">
        <f t="shared" si="34"/>
        <v>4.0000000000000124</v>
      </c>
      <c r="DC22" s="62"/>
      <c r="DD22" s="143"/>
      <c r="DE22" s="149">
        <f>DC22+DB22-DD22</f>
        <v>4.0000000000000124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33</v>
      </c>
      <c r="G23" s="62"/>
      <c r="H23" s="143">
        <v>16</v>
      </c>
      <c r="I23" s="13">
        <f t="shared" si="0"/>
        <v>17</v>
      </c>
      <c r="J23" s="62"/>
      <c r="K23" s="143">
        <f>1</f>
        <v>1</v>
      </c>
      <c r="L23" s="13">
        <f t="shared" si="1"/>
        <v>16</v>
      </c>
      <c r="M23" s="62">
        <v>30</v>
      </c>
      <c r="N23" s="143">
        <f>16</f>
        <v>16</v>
      </c>
      <c r="O23" s="13">
        <f t="shared" si="2"/>
        <v>30</v>
      </c>
      <c r="P23" s="62">
        <v>30</v>
      </c>
      <c r="Q23" s="143">
        <f>1+12</f>
        <v>13</v>
      </c>
      <c r="R23" s="13">
        <f t="shared" si="3"/>
        <v>47</v>
      </c>
      <c r="S23" s="62"/>
      <c r="T23" s="143">
        <f>14</f>
        <v>14</v>
      </c>
      <c r="U23" s="13">
        <f t="shared" si="4"/>
        <v>33</v>
      </c>
      <c r="V23" s="62"/>
      <c r="W23" s="143"/>
      <c r="X23" s="13">
        <f t="shared" si="5"/>
        <v>33</v>
      </c>
      <c r="Y23" s="62"/>
      <c r="Z23" s="143">
        <f>1+12</f>
        <v>13</v>
      </c>
      <c r="AA23" s="13">
        <f t="shared" si="27"/>
        <v>20</v>
      </c>
      <c r="AB23" s="62">
        <v>30</v>
      </c>
      <c r="AC23" s="143">
        <v>10</v>
      </c>
      <c r="AD23" s="13">
        <f t="shared" si="28"/>
        <v>40</v>
      </c>
      <c r="AE23" s="62"/>
      <c r="AF23" s="143"/>
      <c r="AG23" s="13">
        <f t="shared" si="29"/>
        <v>40</v>
      </c>
      <c r="AH23" s="62"/>
      <c r="AI23" s="143">
        <f>8+1</f>
        <v>9</v>
      </c>
      <c r="AJ23" s="13">
        <f t="shared" si="30"/>
        <v>31</v>
      </c>
      <c r="AK23" s="62">
        <v>30</v>
      </c>
      <c r="AL23" s="143">
        <f>26</f>
        <v>26</v>
      </c>
      <c r="AM23" s="13">
        <f t="shared" si="6"/>
        <v>35</v>
      </c>
      <c r="AN23" s="62"/>
      <c r="AO23" s="143">
        <v>2</v>
      </c>
      <c r="AP23" s="13">
        <f t="shared" si="7"/>
        <v>33</v>
      </c>
      <c r="AQ23" s="62"/>
      <c r="AR23" s="143"/>
      <c r="AS23" s="13">
        <f t="shared" si="8"/>
        <v>33</v>
      </c>
      <c r="AT23" s="62"/>
      <c r="AU23" s="143">
        <f>1+2</f>
        <v>3</v>
      </c>
      <c r="AV23" s="13">
        <f t="shared" si="9"/>
        <v>30</v>
      </c>
      <c r="AW23" s="62">
        <v>30</v>
      </c>
      <c r="AX23" s="143">
        <v>20</v>
      </c>
      <c r="AY23" s="13">
        <f t="shared" si="10"/>
        <v>40</v>
      </c>
      <c r="AZ23" s="61"/>
      <c r="BA23" s="143">
        <f>1</f>
        <v>1</v>
      </c>
      <c r="BB23" s="13">
        <f t="shared" si="11"/>
        <v>39</v>
      </c>
      <c r="BC23" s="62"/>
      <c r="BD23" s="143">
        <v>8</v>
      </c>
      <c r="BE23" s="13">
        <f t="shared" si="12"/>
        <v>31</v>
      </c>
      <c r="BF23" s="62">
        <v>30</v>
      </c>
      <c r="BG23" s="143">
        <v>20</v>
      </c>
      <c r="BH23" s="13">
        <f t="shared" si="13"/>
        <v>41</v>
      </c>
      <c r="BI23" s="62">
        <v>30</v>
      </c>
      <c r="BJ23" s="143">
        <v>10</v>
      </c>
      <c r="BK23" s="13">
        <f t="shared" si="14"/>
        <v>61</v>
      </c>
      <c r="BL23" s="62"/>
      <c r="BM23" s="143"/>
      <c r="BN23" s="13">
        <f t="shared" si="15"/>
        <v>61</v>
      </c>
      <c r="BO23" s="62"/>
      <c r="BP23" s="143">
        <v>10</v>
      </c>
      <c r="BQ23" s="13">
        <f t="shared" si="16"/>
        <v>51</v>
      </c>
      <c r="BR23" s="62"/>
      <c r="BS23" s="143">
        <v>12</v>
      </c>
      <c r="BT23" s="13">
        <f t="shared" si="17"/>
        <v>39</v>
      </c>
      <c r="BU23" s="62"/>
      <c r="BV23" s="143"/>
      <c r="BW23" s="13">
        <f t="shared" si="18"/>
        <v>39</v>
      </c>
      <c r="BX23" s="62"/>
      <c r="BY23" s="143">
        <v>9</v>
      </c>
      <c r="BZ23" s="13">
        <f t="shared" si="19"/>
        <v>30</v>
      </c>
      <c r="CA23" s="62"/>
      <c r="CB23" s="143">
        <f>10</f>
        <v>10</v>
      </c>
      <c r="CC23" s="13">
        <f t="shared" si="20"/>
        <v>20</v>
      </c>
      <c r="CD23" s="62">
        <v>30</v>
      </c>
      <c r="CE23" s="143">
        <f>14</f>
        <v>14</v>
      </c>
      <c r="CF23" s="13">
        <f t="shared" si="21"/>
        <v>36</v>
      </c>
      <c r="CG23" s="62"/>
      <c r="CH23" s="143"/>
      <c r="CI23" s="13">
        <f t="shared" si="31"/>
        <v>36</v>
      </c>
      <c r="CJ23" s="62"/>
      <c r="CK23" s="143">
        <v>4</v>
      </c>
      <c r="CL23" s="13">
        <f t="shared" si="32"/>
        <v>32</v>
      </c>
      <c r="CM23" s="61"/>
      <c r="CN23" s="143">
        <v>4</v>
      </c>
      <c r="CO23" s="13">
        <f t="shared" si="22"/>
        <v>28</v>
      </c>
      <c r="CP23" s="61"/>
      <c r="CQ23" s="143">
        <f>1</f>
        <v>1</v>
      </c>
      <c r="CR23" s="13">
        <f t="shared" si="33"/>
        <v>27</v>
      </c>
      <c r="CS23" s="62"/>
      <c r="CT23" s="143">
        <v>8</v>
      </c>
      <c r="CU23" s="14">
        <f t="shared" si="23"/>
        <v>19</v>
      </c>
      <c r="CV23" s="5">
        <f t="shared" si="24"/>
        <v>240</v>
      </c>
      <c r="CW23" s="4">
        <f t="shared" si="24"/>
        <v>254</v>
      </c>
      <c r="CX23" s="6">
        <f t="shared" si="25"/>
        <v>19</v>
      </c>
      <c r="CY23" s="162">
        <v>180</v>
      </c>
      <c r="CZ23" s="171">
        <f t="shared" si="26"/>
        <v>3420</v>
      </c>
      <c r="DB23" s="2">
        <f t="shared" si="34"/>
        <v>19</v>
      </c>
      <c r="DC23" s="62"/>
      <c r="DD23" s="143"/>
      <c r="DE23" s="149">
        <f t="shared" si="35"/>
        <v>19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1</v>
      </c>
      <c r="G24" s="62"/>
      <c r="H24" s="143"/>
      <c r="I24" s="13">
        <f t="shared" si="0"/>
        <v>1</v>
      </c>
      <c r="J24" s="62"/>
      <c r="K24" s="143"/>
      <c r="L24" s="13">
        <f t="shared" si="1"/>
        <v>1</v>
      </c>
      <c r="M24" s="62"/>
      <c r="N24" s="143"/>
      <c r="O24" s="13">
        <f t="shared" si="2"/>
        <v>1</v>
      </c>
      <c r="P24" s="62"/>
      <c r="Q24" s="143"/>
      <c r="R24" s="30">
        <f t="shared" si="3"/>
        <v>1</v>
      </c>
      <c r="S24" s="62"/>
      <c r="T24" s="143"/>
      <c r="U24" s="13">
        <f t="shared" si="4"/>
        <v>1</v>
      </c>
      <c r="V24" s="62"/>
      <c r="W24" s="143"/>
      <c r="X24" s="13">
        <f t="shared" si="5"/>
        <v>1</v>
      </c>
      <c r="Y24" s="62"/>
      <c r="Z24" s="143"/>
      <c r="AA24" s="13">
        <f t="shared" si="27"/>
        <v>1</v>
      </c>
      <c r="AB24" s="62"/>
      <c r="AC24" s="143"/>
      <c r="AD24" s="13">
        <f t="shared" si="28"/>
        <v>1</v>
      </c>
      <c r="AE24" s="62"/>
      <c r="AF24" s="143"/>
      <c r="AG24" s="13">
        <f t="shared" si="29"/>
        <v>1</v>
      </c>
      <c r="AH24" s="62"/>
      <c r="AI24" s="143"/>
      <c r="AJ24" s="13">
        <f t="shared" si="30"/>
        <v>1</v>
      </c>
      <c r="AK24" s="62"/>
      <c r="AL24" s="143"/>
      <c r="AM24" s="13">
        <f t="shared" si="6"/>
        <v>1</v>
      </c>
      <c r="AN24" s="62"/>
      <c r="AO24" s="143"/>
      <c r="AP24" s="13">
        <f t="shared" si="7"/>
        <v>1</v>
      </c>
      <c r="AQ24" s="62"/>
      <c r="AR24" s="143"/>
      <c r="AS24" s="13">
        <f t="shared" si="8"/>
        <v>1</v>
      </c>
      <c r="AT24" s="62">
        <v>18</v>
      </c>
      <c r="AU24" s="143"/>
      <c r="AV24" s="13">
        <f t="shared" si="9"/>
        <v>19</v>
      </c>
      <c r="AW24" s="62"/>
      <c r="AX24" s="143">
        <v>12</v>
      </c>
      <c r="AY24" s="13">
        <f t="shared" si="10"/>
        <v>7</v>
      </c>
      <c r="AZ24" s="61"/>
      <c r="BA24" s="143"/>
      <c r="BB24" s="13">
        <f t="shared" si="11"/>
        <v>7</v>
      </c>
      <c r="BC24" s="62"/>
      <c r="BD24" s="143"/>
      <c r="BE24" s="13">
        <f t="shared" si="12"/>
        <v>7</v>
      </c>
      <c r="BF24" s="62"/>
      <c r="BG24" s="143"/>
      <c r="BH24" s="13">
        <f t="shared" si="13"/>
        <v>7</v>
      </c>
      <c r="BI24" s="62"/>
      <c r="BJ24" s="143"/>
      <c r="BK24" s="13">
        <f t="shared" si="14"/>
        <v>7</v>
      </c>
      <c r="BL24" s="62"/>
      <c r="BM24" s="143"/>
      <c r="BN24" s="13">
        <f t="shared" si="15"/>
        <v>7</v>
      </c>
      <c r="BO24" s="62"/>
      <c r="BP24" s="143"/>
      <c r="BQ24" s="13">
        <f t="shared" si="16"/>
        <v>7</v>
      </c>
      <c r="BR24" s="62"/>
      <c r="BS24" s="143"/>
      <c r="BT24" s="13">
        <f t="shared" si="17"/>
        <v>7</v>
      </c>
      <c r="BU24" s="62"/>
      <c r="BV24" s="143"/>
      <c r="BW24" s="13">
        <f t="shared" si="18"/>
        <v>7</v>
      </c>
      <c r="BX24" s="62"/>
      <c r="BY24" s="143"/>
      <c r="BZ24" s="13">
        <f t="shared" si="19"/>
        <v>7</v>
      </c>
      <c r="CA24" s="62"/>
      <c r="CB24" s="143"/>
      <c r="CC24" s="13">
        <f t="shared" si="20"/>
        <v>7</v>
      </c>
      <c r="CD24" s="62"/>
      <c r="CE24" s="143"/>
      <c r="CF24" s="13">
        <f t="shared" si="21"/>
        <v>7</v>
      </c>
      <c r="CG24" s="62"/>
      <c r="CH24" s="143"/>
      <c r="CI24" s="13">
        <f t="shared" si="31"/>
        <v>7</v>
      </c>
      <c r="CJ24" s="62"/>
      <c r="CK24" s="143"/>
      <c r="CL24" s="13">
        <f t="shared" si="32"/>
        <v>7</v>
      </c>
      <c r="CM24" s="61"/>
      <c r="CN24" s="143"/>
      <c r="CO24" s="13">
        <f t="shared" si="22"/>
        <v>7</v>
      </c>
      <c r="CP24" s="62"/>
      <c r="CQ24" s="143"/>
      <c r="CR24" s="13">
        <f t="shared" si="33"/>
        <v>7</v>
      </c>
      <c r="CS24" s="62"/>
      <c r="CT24" s="143"/>
      <c r="CU24" s="14">
        <f t="shared" si="23"/>
        <v>7</v>
      </c>
      <c r="CV24" s="5">
        <f t="shared" si="24"/>
        <v>18</v>
      </c>
      <c r="CW24" s="4">
        <f t="shared" si="24"/>
        <v>12</v>
      </c>
      <c r="CX24" s="6">
        <f t="shared" si="25"/>
        <v>7</v>
      </c>
      <c r="CY24" s="162">
        <v>50</v>
      </c>
      <c r="CZ24" s="171">
        <f t="shared" si="26"/>
        <v>350</v>
      </c>
      <c r="DB24" s="2">
        <f t="shared" si="34"/>
        <v>7</v>
      </c>
      <c r="DC24" s="62"/>
      <c r="DD24" s="143"/>
      <c r="DE24" s="149">
        <f t="shared" si="35"/>
        <v>7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1</v>
      </c>
      <c r="G25" s="62">
        <f>-2+20</f>
        <v>18</v>
      </c>
      <c r="H25" s="143"/>
      <c r="I25" s="13">
        <f t="shared" si="0"/>
        <v>19</v>
      </c>
      <c r="J25" s="62"/>
      <c r="K25" s="143">
        <f>2.5+1.5+2+2+2</f>
        <v>10</v>
      </c>
      <c r="L25" s="13">
        <f t="shared" si="1"/>
        <v>9</v>
      </c>
      <c r="M25" s="62">
        <v>10</v>
      </c>
      <c r="N25" s="143">
        <f>1+1.5+1</f>
        <v>3.5</v>
      </c>
      <c r="O25" s="13">
        <f t="shared" si="2"/>
        <v>15.5</v>
      </c>
      <c r="P25" s="62"/>
      <c r="Q25" s="143">
        <v>2</v>
      </c>
      <c r="R25" s="30">
        <f t="shared" si="3"/>
        <v>13.5</v>
      </c>
      <c r="S25" s="62">
        <v>10</v>
      </c>
      <c r="T25" s="143">
        <f>2+2+3</f>
        <v>7</v>
      </c>
      <c r="U25" s="13">
        <f t="shared" si="4"/>
        <v>16.5</v>
      </c>
      <c r="V25" s="62"/>
      <c r="W25" s="143"/>
      <c r="X25" s="13">
        <f t="shared" si="5"/>
        <v>16.5</v>
      </c>
      <c r="Y25" s="62"/>
      <c r="Z25" s="143">
        <f>2+1+2+2+1</f>
        <v>8</v>
      </c>
      <c r="AA25" s="13">
        <f t="shared" si="27"/>
        <v>8.5</v>
      </c>
      <c r="AB25" s="62">
        <v>10</v>
      </c>
      <c r="AC25" s="143">
        <f>0.5+1</f>
        <v>1.5</v>
      </c>
      <c r="AD25" s="13">
        <f t="shared" si="28"/>
        <v>17</v>
      </c>
      <c r="AE25" s="62"/>
      <c r="AF25" s="143">
        <f>1+1</f>
        <v>2</v>
      </c>
      <c r="AG25" s="13">
        <f t="shared" si="29"/>
        <v>15</v>
      </c>
      <c r="AH25" s="62"/>
      <c r="AI25" s="143">
        <f>2</f>
        <v>2</v>
      </c>
      <c r="AJ25" s="13">
        <f t="shared" si="30"/>
        <v>13</v>
      </c>
      <c r="AK25" s="62">
        <v>10</v>
      </c>
      <c r="AL25" s="143">
        <f>0.5+0.5+1+3</f>
        <v>5</v>
      </c>
      <c r="AM25" s="13">
        <f t="shared" si="6"/>
        <v>18</v>
      </c>
      <c r="AN25" s="62"/>
      <c r="AO25" s="143">
        <f>3+1</f>
        <v>4</v>
      </c>
      <c r="AP25" s="13">
        <f t="shared" si="7"/>
        <v>14</v>
      </c>
      <c r="AQ25" s="62"/>
      <c r="AR25" s="143"/>
      <c r="AS25" s="13">
        <f t="shared" si="8"/>
        <v>14</v>
      </c>
      <c r="AT25" s="62"/>
      <c r="AU25" s="143">
        <v>2</v>
      </c>
      <c r="AV25" s="13">
        <f t="shared" si="9"/>
        <v>12</v>
      </c>
      <c r="AW25" s="62">
        <v>10</v>
      </c>
      <c r="AX25" s="143">
        <f>3+1+1</f>
        <v>5</v>
      </c>
      <c r="AY25" s="13">
        <f t="shared" si="10"/>
        <v>17</v>
      </c>
      <c r="AZ25" s="61"/>
      <c r="BA25" s="143">
        <f>1.5+2+1.5+1.5+2</f>
        <v>8.5</v>
      </c>
      <c r="BB25" s="13">
        <f t="shared" si="11"/>
        <v>8.5</v>
      </c>
      <c r="BC25" s="62"/>
      <c r="BD25" s="143"/>
      <c r="BE25" s="13">
        <f t="shared" si="12"/>
        <v>8.5</v>
      </c>
      <c r="BF25" s="62">
        <v>10</v>
      </c>
      <c r="BG25" s="143">
        <f>2+0.5+0.5</f>
        <v>3</v>
      </c>
      <c r="BH25" s="13">
        <f t="shared" si="13"/>
        <v>15.5</v>
      </c>
      <c r="BI25" s="62"/>
      <c r="BJ25" s="143">
        <f>2+2</f>
        <v>4</v>
      </c>
      <c r="BK25" s="13">
        <f t="shared" si="14"/>
        <v>11.5</v>
      </c>
      <c r="BL25" s="62"/>
      <c r="BM25" s="143"/>
      <c r="BN25" s="13">
        <f t="shared" si="15"/>
        <v>11.5</v>
      </c>
      <c r="BO25" s="62"/>
      <c r="BP25" s="143">
        <v>3</v>
      </c>
      <c r="BQ25" s="13">
        <f t="shared" si="16"/>
        <v>8.5</v>
      </c>
      <c r="BR25" s="62">
        <v>10</v>
      </c>
      <c r="BS25" s="143">
        <f>2+2+1</f>
        <v>5</v>
      </c>
      <c r="BT25" s="13">
        <f t="shared" si="17"/>
        <v>13.5</v>
      </c>
      <c r="BU25" s="62"/>
      <c r="BV25" s="143"/>
      <c r="BW25" s="13">
        <f t="shared" si="18"/>
        <v>13.5</v>
      </c>
      <c r="BX25" s="62"/>
      <c r="BY25" s="143">
        <f>1.5+1+1.5</f>
        <v>4</v>
      </c>
      <c r="BZ25" s="13">
        <f t="shared" si="19"/>
        <v>9.5</v>
      </c>
      <c r="CA25" s="62"/>
      <c r="CB25" s="143">
        <f>1+2</f>
        <v>3</v>
      </c>
      <c r="CC25" s="13">
        <f t="shared" si="20"/>
        <v>6.5</v>
      </c>
      <c r="CD25" s="62"/>
      <c r="CE25" s="143">
        <f>3</f>
        <v>3</v>
      </c>
      <c r="CF25" s="13">
        <f t="shared" si="21"/>
        <v>3.5</v>
      </c>
      <c r="CG25" s="62"/>
      <c r="CH25" s="143"/>
      <c r="CI25" s="13">
        <f t="shared" si="31"/>
        <v>3.5</v>
      </c>
      <c r="CJ25" s="62">
        <v>10</v>
      </c>
      <c r="CK25" s="143"/>
      <c r="CL25" s="13">
        <f t="shared" si="32"/>
        <v>13.5</v>
      </c>
      <c r="CM25" s="61">
        <v>10</v>
      </c>
      <c r="CN25" s="143">
        <f>3+0.5+3</f>
        <v>6.5</v>
      </c>
      <c r="CO25" s="13">
        <f t="shared" si="22"/>
        <v>17</v>
      </c>
      <c r="CP25" s="62"/>
      <c r="CQ25" s="143">
        <f>2</f>
        <v>2</v>
      </c>
      <c r="CR25" s="13">
        <f t="shared" si="33"/>
        <v>15</v>
      </c>
      <c r="CS25" s="62"/>
      <c r="CT25" s="143">
        <f>2+2+7</f>
        <v>11</v>
      </c>
      <c r="CU25" s="14">
        <f t="shared" si="23"/>
        <v>4</v>
      </c>
      <c r="CV25" s="5">
        <f t="shared" si="24"/>
        <v>108</v>
      </c>
      <c r="CW25" s="4">
        <f t="shared" si="24"/>
        <v>105</v>
      </c>
      <c r="CX25" s="6">
        <f t="shared" si="25"/>
        <v>4</v>
      </c>
      <c r="CY25" s="162">
        <v>160</v>
      </c>
      <c r="CZ25" s="171">
        <f t="shared" si="26"/>
        <v>640</v>
      </c>
      <c r="DB25" s="2">
        <f t="shared" si="34"/>
        <v>4</v>
      </c>
      <c r="DC25" s="62"/>
      <c r="DD25" s="143"/>
      <c r="DE25" s="149">
        <f t="shared" si="35"/>
        <v>4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7</v>
      </c>
      <c r="G26" s="62">
        <f>15+2</f>
        <v>17</v>
      </c>
      <c r="H26" s="143">
        <v>5</v>
      </c>
      <c r="I26" s="13">
        <f t="shared" si="0"/>
        <v>19</v>
      </c>
      <c r="J26" s="62"/>
      <c r="K26" s="143"/>
      <c r="L26" s="13">
        <f t="shared" si="1"/>
        <v>19</v>
      </c>
      <c r="M26" s="62">
        <v>2</v>
      </c>
      <c r="N26" s="143">
        <v>5</v>
      </c>
      <c r="O26" s="13">
        <f t="shared" si="2"/>
        <v>16</v>
      </c>
      <c r="P26" s="62">
        <f>2+6</f>
        <v>8</v>
      </c>
      <c r="Q26" s="143">
        <v>6</v>
      </c>
      <c r="R26" s="30">
        <f t="shared" si="3"/>
        <v>18</v>
      </c>
      <c r="S26" s="62">
        <v>2</v>
      </c>
      <c r="T26" s="143">
        <v>7</v>
      </c>
      <c r="U26" s="13">
        <f t="shared" si="4"/>
        <v>13</v>
      </c>
      <c r="V26" s="62"/>
      <c r="W26" s="143"/>
      <c r="X26" s="13">
        <f t="shared" si="5"/>
        <v>13</v>
      </c>
      <c r="Y26" s="62">
        <f>8+2</f>
        <v>10</v>
      </c>
      <c r="Z26" s="143">
        <v>4</v>
      </c>
      <c r="AA26" s="13">
        <f t="shared" si="27"/>
        <v>19</v>
      </c>
      <c r="AB26" s="62">
        <v>2</v>
      </c>
      <c r="AC26" s="143">
        <v>6</v>
      </c>
      <c r="AD26" s="13">
        <f t="shared" si="28"/>
        <v>15</v>
      </c>
      <c r="AE26" s="62"/>
      <c r="AF26" s="143"/>
      <c r="AG26" s="13">
        <f t="shared" si="29"/>
        <v>15</v>
      </c>
      <c r="AH26" s="62">
        <v>2</v>
      </c>
      <c r="AI26" s="143">
        <v>5</v>
      </c>
      <c r="AJ26" s="13">
        <f t="shared" si="30"/>
        <v>12</v>
      </c>
      <c r="AK26" s="62">
        <f>2+10</f>
        <v>12</v>
      </c>
      <c r="AL26" s="143">
        <v>4</v>
      </c>
      <c r="AM26" s="13">
        <f t="shared" si="6"/>
        <v>20</v>
      </c>
      <c r="AN26" s="62">
        <v>2</v>
      </c>
      <c r="AO26" s="143">
        <v>6</v>
      </c>
      <c r="AP26" s="13">
        <f t="shared" si="7"/>
        <v>16</v>
      </c>
      <c r="AQ26" s="62"/>
      <c r="AR26" s="143"/>
      <c r="AS26" s="13">
        <f t="shared" si="8"/>
        <v>16</v>
      </c>
      <c r="AT26" s="62">
        <f>2+8</f>
        <v>10</v>
      </c>
      <c r="AU26" s="143">
        <v>5</v>
      </c>
      <c r="AV26" s="13">
        <f t="shared" si="9"/>
        <v>21</v>
      </c>
      <c r="AW26" s="62">
        <v>2</v>
      </c>
      <c r="AX26" s="143">
        <v>7</v>
      </c>
      <c r="AY26" s="13">
        <f t="shared" si="10"/>
        <v>16</v>
      </c>
      <c r="AZ26" s="61"/>
      <c r="BA26" s="143"/>
      <c r="BB26" s="13">
        <f t="shared" si="11"/>
        <v>16</v>
      </c>
      <c r="BC26" s="62">
        <v>2</v>
      </c>
      <c r="BD26" s="143">
        <v>4</v>
      </c>
      <c r="BE26" s="13">
        <f t="shared" si="12"/>
        <v>14</v>
      </c>
      <c r="BF26" s="62">
        <f>2+15+1</f>
        <v>18</v>
      </c>
      <c r="BG26" s="143">
        <v>4</v>
      </c>
      <c r="BH26" s="13">
        <f t="shared" si="13"/>
        <v>28</v>
      </c>
      <c r="BI26" s="62">
        <v>2</v>
      </c>
      <c r="BJ26" s="143">
        <v>5</v>
      </c>
      <c r="BK26" s="13">
        <f t="shared" si="14"/>
        <v>25</v>
      </c>
      <c r="BL26" s="62"/>
      <c r="BM26" s="143"/>
      <c r="BN26" s="13">
        <f t="shared" si="15"/>
        <v>25</v>
      </c>
      <c r="BO26" s="62"/>
      <c r="BP26" s="143">
        <v>6</v>
      </c>
      <c r="BQ26" s="13">
        <f t="shared" si="16"/>
        <v>19</v>
      </c>
      <c r="BR26" s="62">
        <v>2</v>
      </c>
      <c r="BS26" s="143">
        <v>10</v>
      </c>
      <c r="BT26" s="13">
        <f t="shared" si="17"/>
        <v>11</v>
      </c>
      <c r="BU26" s="62"/>
      <c r="BV26" s="143"/>
      <c r="BW26" s="13">
        <f t="shared" si="18"/>
        <v>11</v>
      </c>
      <c r="BX26" s="62">
        <v>2</v>
      </c>
      <c r="BY26" s="143">
        <v>5</v>
      </c>
      <c r="BZ26" s="13">
        <f t="shared" si="19"/>
        <v>8</v>
      </c>
      <c r="CA26" s="62">
        <f>2+15</f>
        <v>17</v>
      </c>
      <c r="CB26" s="143">
        <v>3</v>
      </c>
      <c r="CC26" s="13">
        <f t="shared" si="20"/>
        <v>22</v>
      </c>
      <c r="CD26" s="62">
        <v>2</v>
      </c>
      <c r="CE26" s="143">
        <v>7</v>
      </c>
      <c r="CF26" s="13">
        <f t="shared" si="21"/>
        <v>17</v>
      </c>
      <c r="CG26" s="62"/>
      <c r="CH26" s="143"/>
      <c r="CI26" s="13">
        <f t="shared" si="31"/>
        <v>17</v>
      </c>
      <c r="CJ26" s="62">
        <v>2</v>
      </c>
      <c r="CK26" s="143">
        <v>4</v>
      </c>
      <c r="CL26" s="13">
        <f t="shared" si="32"/>
        <v>15</v>
      </c>
      <c r="CM26" s="61">
        <v>2</v>
      </c>
      <c r="CN26" s="143">
        <v>5</v>
      </c>
      <c r="CO26" s="13">
        <f t="shared" si="22"/>
        <v>12</v>
      </c>
      <c r="CP26" s="62"/>
      <c r="CQ26" s="143"/>
      <c r="CR26" s="13">
        <f t="shared" si="33"/>
        <v>12</v>
      </c>
      <c r="CS26" s="62">
        <v>2</v>
      </c>
      <c r="CT26" s="143">
        <v>8</v>
      </c>
      <c r="CU26" s="14">
        <f t="shared" si="23"/>
        <v>6</v>
      </c>
      <c r="CV26" s="5">
        <f t="shared" si="24"/>
        <v>120</v>
      </c>
      <c r="CW26" s="4">
        <f t="shared" si="24"/>
        <v>121</v>
      </c>
      <c r="CX26" s="6">
        <f t="shared" si="25"/>
        <v>6</v>
      </c>
      <c r="CY26" s="162">
        <v>4200</v>
      </c>
      <c r="CZ26" s="171">
        <f t="shared" si="26"/>
        <v>25200</v>
      </c>
      <c r="DB26" s="2">
        <f t="shared" si="34"/>
        <v>6</v>
      </c>
      <c r="DC26" s="62"/>
      <c r="DD26" s="143"/>
      <c r="DE26" s="149">
        <f t="shared" si="35"/>
        <v>6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38.770000000000003</v>
      </c>
      <c r="G27" s="62">
        <v>60</v>
      </c>
      <c r="H27" s="143">
        <f>4.1+3.5+2.3+2.5+3.2+10+1+1.6+1.6+4</f>
        <v>33.799999999999997</v>
      </c>
      <c r="I27" s="13">
        <f t="shared" si="0"/>
        <v>64.970000000000013</v>
      </c>
      <c r="J27" s="62"/>
      <c r="K27" s="143">
        <f>2.6+1.5+3.2+2.2+1.1+7.4</f>
        <v>18</v>
      </c>
      <c r="L27" s="13">
        <f t="shared" si="1"/>
        <v>46.970000000000013</v>
      </c>
      <c r="M27" s="62">
        <v>20</v>
      </c>
      <c r="N27" s="143">
        <f>2.1+3+2.9+3.2+2.9+2.1</f>
        <v>16.2</v>
      </c>
      <c r="O27" s="13">
        <f t="shared" si="2"/>
        <v>50.77000000000001</v>
      </c>
      <c r="P27" s="62"/>
      <c r="Q27" s="143">
        <f>1.6+0.3+0.2+0.2+0.2</f>
        <v>2.5000000000000004</v>
      </c>
      <c r="R27" s="30">
        <f t="shared" si="3"/>
        <v>48.27000000000001</v>
      </c>
      <c r="S27" s="62">
        <v>40</v>
      </c>
      <c r="T27" s="143">
        <f>10+1+1.2+6.7+2</f>
        <v>20.9</v>
      </c>
      <c r="U27" s="13">
        <f t="shared" si="4"/>
        <v>67.37</v>
      </c>
      <c r="V27" s="62"/>
      <c r="W27" s="143"/>
      <c r="X27" s="13">
        <f t="shared" si="5"/>
        <v>67.37</v>
      </c>
      <c r="Y27" s="62"/>
      <c r="Z27" s="143">
        <f>1.1+0.9+1.1+1.3+5</f>
        <v>9.4</v>
      </c>
      <c r="AA27" s="13">
        <f t="shared" si="27"/>
        <v>57.970000000000006</v>
      </c>
      <c r="AB27" s="62"/>
      <c r="AC27" s="143">
        <f>0.4+2.3+2.7+1+0.9+0.8+0.9+1.2</f>
        <v>10.200000000000001</v>
      </c>
      <c r="AD27" s="13">
        <f t="shared" si="28"/>
        <v>47.77</v>
      </c>
      <c r="AE27" s="62"/>
      <c r="AF27" s="143">
        <f>0.8+1.2+1.5+0.9+1.2</f>
        <v>5.6000000000000005</v>
      </c>
      <c r="AG27" s="13">
        <f t="shared" si="29"/>
        <v>42.17</v>
      </c>
      <c r="AH27" s="62">
        <v>40</v>
      </c>
      <c r="AI27" s="143">
        <f>10+1.2+1.2+10+1.4+1.1+1.7+3+4.6</f>
        <v>34.199999999999996</v>
      </c>
      <c r="AJ27" s="13">
        <f t="shared" si="30"/>
        <v>47.970000000000006</v>
      </c>
      <c r="AK27" s="62">
        <v>20</v>
      </c>
      <c r="AL27" s="143">
        <f>0.5+0.2+0.2+0.3+2.1+9.6</f>
        <v>12.899999999999999</v>
      </c>
      <c r="AM27" s="13">
        <f t="shared" si="6"/>
        <v>55.07</v>
      </c>
      <c r="AN27" s="62">
        <v>20</v>
      </c>
      <c r="AO27" s="143">
        <f>10+2.4+1.5</f>
        <v>13.9</v>
      </c>
      <c r="AP27" s="13">
        <f t="shared" si="7"/>
        <v>61.169999999999995</v>
      </c>
      <c r="AQ27" s="62"/>
      <c r="AR27" s="143"/>
      <c r="AS27" s="13">
        <f t="shared" si="8"/>
        <v>61.169999999999995</v>
      </c>
      <c r="AT27" s="62">
        <v>40</v>
      </c>
      <c r="AU27" s="143">
        <f>5.9+1.1+0.3+2+1.7+1.3+0.8+1.1+1.2+6.2+9.4+2.2</f>
        <v>33.200000000000003</v>
      </c>
      <c r="AV27" s="13">
        <f t="shared" si="9"/>
        <v>67.969999999999985</v>
      </c>
      <c r="AW27" s="62">
        <v>40</v>
      </c>
      <c r="AX27" s="143">
        <f>0.5+10+4.2+3.5+1.7+1.8+1.5+1.6+1+4</f>
        <v>29.8</v>
      </c>
      <c r="AY27" s="13">
        <f t="shared" si="10"/>
        <v>78.169999999999987</v>
      </c>
      <c r="AZ27" s="61"/>
      <c r="BA27" s="143">
        <f>2.6+3.1+2.1+1</f>
        <v>8.8000000000000007</v>
      </c>
      <c r="BB27" s="13">
        <f t="shared" si="11"/>
        <v>69.36999999999999</v>
      </c>
      <c r="BC27" s="62"/>
      <c r="BD27" s="143">
        <f>2.1+1.9+1.3+1.1+0.9+1.2</f>
        <v>8.5</v>
      </c>
      <c r="BE27" s="13">
        <f t="shared" si="12"/>
        <v>60.86999999999999</v>
      </c>
      <c r="BF27" s="205">
        <f>20</f>
        <v>20</v>
      </c>
      <c r="BG27" s="143">
        <f>1.6+0.3+0.2+0.2</f>
        <v>2.3000000000000003</v>
      </c>
      <c r="BH27" s="13">
        <f t="shared" si="13"/>
        <v>78.569999999999993</v>
      </c>
      <c r="BI27" s="62"/>
      <c r="BJ27" s="143">
        <f>10+1</f>
        <v>11</v>
      </c>
      <c r="BK27" s="13">
        <f t="shared" si="14"/>
        <v>67.569999999999993</v>
      </c>
      <c r="BL27" s="62"/>
      <c r="BM27" s="143"/>
      <c r="BN27" s="13">
        <f t="shared" si="15"/>
        <v>67.569999999999993</v>
      </c>
      <c r="BO27" s="62"/>
      <c r="BP27" s="143">
        <v>6.4</v>
      </c>
      <c r="BQ27" s="13">
        <f t="shared" si="16"/>
        <v>61.169999999999995</v>
      </c>
      <c r="BR27" s="62"/>
      <c r="BS27" s="143">
        <f>2+2.8+2.3+1.5+5+1.9+1.5+1+1.6+0.6+0.6</f>
        <v>20.800000000000004</v>
      </c>
      <c r="BT27" s="13">
        <f t="shared" si="17"/>
        <v>40.36999999999999</v>
      </c>
      <c r="BU27" s="62"/>
      <c r="BV27" s="143">
        <f>1+1.2+1.5+1.2</f>
        <v>4.9000000000000004</v>
      </c>
      <c r="BW27" s="13">
        <f t="shared" si="18"/>
        <v>35.469999999999992</v>
      </c>
      <c r="BX27" s="62">
        <v>20</v>
      </c>
      <c r="BY27" s="143">
        <f>1+1.2+10+0.9+1.1+1.8+4.6</f>
        <v>20.6</v>
      </c>
      <c r="BZ27" s="13">
        <f t="shared" si="19"/>
        <v>34.86999999999999</v>
      </c>
      <c r="CA27" s="62"/>
      <c r="CB27" s="143">
        <f>0.2+0.3+4.9</f>
        <v>5.4</v>
      </c>
      <c r="CC27" s="13">
        <f t="shared" si="20"/>
        <v>29.469999999999992</v>
      </c>
      <c r="CD27" s="62">
        <f>40+20</f>
        <v>60</v>
      </c>
      <c r="CE27" s="143">
        <f>2.3+1</f>
        <v>3.3</v>
      </c>
      <c r="CF27" s="13">
        <f t="shared" si="21"/>
        <v>86.17</v>
      </c>
      <c r="CG27" s="62"/>
      <c r="CH27" s="143"/>
      <c r="CI27" s="13">
        <f t="shared" si="31"/>
        <v>86.17</v>
      </c>
      <c r="CJ27" s="62">
        <v>10</v>
      </c>
      <c r="CK27" s="143">
        <f>5.9+2.3+0.3+0.2+1.7+1.4+0.8+4+0.9+1.9+0.7+1.9+1+6</f>
        <v>28.999999999999996</v>
      </c>
      <c r="CL27" s="13">
        <f t="shared" si="32"/>
        <v>67.17</v>
      </c>
      <c r="CM27" s="61"/>
      <c r="CN27" s="143">
        <f>10+3.6+0.2+1.2+0.8+1+1+0.2+3+4.1+10</f>
        <v>35.099999999999994</v>
      </c>
      <c r="CO27" s="13">
        <f t="shared" si="22"/>
        <v>32.070000000000007</v>
      </c>
      <c r="CP27" s="61"/>
      <c r="CQ27" s="143">
        <f>2.6+1.4+3.1+0.7+2.7+1</f>
        <v>11.5</v>
      </c>
      <c r="CR27" s="13">
        <f t="shared" si="33"/>
        <v>20.570000000000007</v>
      </c>
      <c r="CS27" s="62">
        <f>-5-1.3+20</f>
        <v>13.7</v>
      </c>
      <c r="CT27" s="143">
        <f>10+2+1+0.5+2.8+1.5+2+0.9</f>
        <v>20.7</v>
      </c>
      <c r="CU27" s="14">
        <f t="shared" si="23"/>
        <v>13.570000000000011</v>
      </c>
      <c r="CV27" s="5">
        <f t="shared" si="24"/>
        <v>403.7</v>
      </c>
      <c r="CW27" s="4">
        <f t="shared" si="24"/>
        <v>428.90000000000003</v>
      </c>
      <c r="CX27" s="6">
        <f t="shared" si="25"/>
        <v>13.570000000000011</v>
      </c>
      <c r="CY27" s="162">
        <v>150</v>
      </c>
      <c r="CZ27" s="171">
        <f t="shared" si="26"/>
        <v>2035.5000000000016</v>
      </c>
      <c r="DB27" s="2">
        <f t="shared" si="34"/>
        <v>13.570000000000011</v>
      </c>
      <c r="DC27" s="62"/>
      <c r="DD27" s="143"/>
      <c r="DE27" s="149">
        <f t="shared" si="35"/>
        <v>13.570000000000011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10.7</v>
      </c>
      <c r="G28" s="62"/>
      <c r="H28" s="143">
        <v>1</v>
      </c>
      <c r="I28" s="13">
        <f t="shared" si="0"/>
        <v>9.6999999999999993</v>
      </c>
      <c r="J28" s="62"/>
      <c r="K28" s="143"/>
      <c r="L28" s="13">
        <f t="shared" si="1"/>
        <v>9.6999999999999993</v>
      </c>
      <c r="M28" s="62"/>
      <c r="N28" s="143">
        <v>3</v>
      </c>
      <c r="O28" s="13">
        <f t="shared" si="2"/>
        <v>6.6999999999999993</v>
      </c>
      <c r="P28" s="62">
        <v>20</v>
      </c>
      <c r="Q28" s="143">
        <v>2</v>
      </c>
      <c r="R28" s="30">
        <f t="shared" si="3"/>
        <v>24.7</v>
      </c>
      <c r="S28" s="62"/>
      <c r="T28" s="143">
        <v>4</v>
      </c>
      <c r="U28" s="13">
        <f t="shared" si="4"/>
        <v>20.7</v>
      </c>
      <c r="V28" s="62"/>
      <c r="W28" s="143"/>
      <c r="X28" s="13">
        <f t="shared" si="5"/>
        <v>20.7</v>
      </c>
      <c r="Y28" s="62"/>
      <c r="Z28" s="143">
        <v>2</v>
      </c>
      <c r="AA28" s="13">
        <f t="shared" si="27"/>
        <v>18.7</v>
      </c>
      <c r="AB28" s="62"/>
      <c r="AC28" s="143">
        <f>4</f>
        <v>4</v>
      </c>
      <c r="AD28" s="13">
        <f t="shared" si="28"/>
        <v>14.7</v>
      </c>
      <c r="AE28" s="62">
        <v>-4</v>
      </c>
      <c r="AF28" s="143"/>
      <c r="AG28" s="13">
        <f t="shared" si="29"/>
        <v>10.7</v>
      </c>
      <c r="AH28" s="62"/>
      <c r="AI28" s="143">
        <v>1</v>
      </c>
      <c r="AJ28" s="13">
        <f t="shared" si="30"/>
        <v>9.6999999999999993</v>
      </c>
      <c r="AK28" s="62"/>
      <c r="AL28" s="143">
        <f>1</f>
        <v>1</v>
      </c>
      <c r="AM28" s="13">
        <f t="shared" si="6"/>
        <v>8.6999999999999993</v>
      </c>
      <c r="AN28" s="62"/>
      <c r="AO28" s="143">
        <v>4</v>
      </c>
      <c r="AP28" s="13">
        <f t="shared" si="7"/>
        <v>4.6999999999999993</v>
      </c>
      <c r="AQ28" s="62"/>
      <c r="AR28" s="143"/>
      <c r="AS28" s="13">
        <f t="shared" si="8"/>
        <v>4.6999999999999993</v>
      </c>
      <c r="AT28" s="62">
        <v>20</v>
      </c>
      <c r="AU28" s="143">
        <f>2.5+2.2</f>
        <v>4.7</v>
      </c>
      <c r="AV28" s="13">
        <f t="shared" si="9"/>
        <v>20</v>
      </c>
      <c r="AW28" s="62"/>
      <c r="AX28" s="143">
        <v>2</v>
      </c>
      <c r="AY28" s="13">
        <f t="shared" si="10"/>
        <v>18</v>
      </c>
      <c r="AZ28" s="61"/>
      <c r="BA28" s="143"/>
      <c r="BB28" s="13">
        <f t="shared" si="11"/>
        <v>18</v>
      </c>
      <c r="BC28" s="62"/>
      <c r="BD28" s="143">
        <v>1.5</v>
      </c>
      <c r="BE28" s="13">
        <f t="shared" si="12"/>
        <v>16.5</v>
      </c>
      <c r="BF28" s="62"/>
      <c r="BG28" s="143">
        <v>1</v>
      </c>
      <c r="BH28" s="13">
        <f t="shared" si="13"/>
        <v>15.5</v>
      </c>
      <c r="BI28" s="62"/>
      <c r="BJ28" s="143">
        <v>1.5</v>
      </c>
      <c r="BK28" s="13">
        <f t="shared" si="14"/>
        <v>14</v>
      </c>
      <c r="BL28" s="62"/>
      <c r="BM28" s="143"/>
      <c r="BN28" s="13">
        <f t="shared" si="15"/>
        <v>14</v>
      </c>
      <c r="BO28" s="62"/>
      <c r="BP28" s="143">
        <v>3</v>
      </c>
      <c r="BQ28" s="13">
        <f t="shared" si="16"/>
        <v>11</v>
      </c>
      <c r="BR28" s="62"/>
      <c r="BS28" s="143">
        <v>1.5</v>
      </c>
      <c r="BT28" s="13">
        <f t="shared" si="17"/>
        <v>9.5</v>
      </c>
      <c r="BU28" s="62"/>
      <c r="BV28" s="143"/>
      <c r="BW28" s="13">
        <f t="shared" si="18"/>
        <v>9.5</v>
      </c>
      <c r="BX28" s="62"/>
      <c r="BY28" s="143">
        <v>1</v>
      </c>
      <c r="BZ28" s="13">
        <f t="shared" si="19"/>
        <v>8.5</v>
      </c>
      <c r="CA28" s="62"/>
      <c r="CB28" s="143">
        <v>4.8</v>
      </c>
      <c r="CC28" s="13">
        <f t="shared" si="20"/>
        <v>3.7</v>
      </c>
      <c r="CD28" s="62"/>
      <c r="CE28" s="143">
        <f>1+2.3</f>
        <v>3.3</v>
      </c>
      <c r="CF28" s="13">
        <f t="shared" si="21"/>
        <v>0.40000000000000036</v>
      </c>
      <c r="CG28" s="62"/>
      <c r="CH28" s="143"/>
      <c r="CI28" s="13">
        <f t="shared" si="31"/>
        <v>0.40000000000000036</v>
      </c>
      <c r="CJ28" s="62"/>
      <c r="CK28" s="143"/>
      <c r="CL28" s="13">
        <f t="shared" si="32"/>
        <v>0.40000000000000036</v>
      </c>
      <c r="CM28" s="61"/>
      <c r="CN28" s="143"/>
      <c r="CO28" s="13">
        <f t="shared" si="22"/>
        <v>0.40000000000000036</v>
      </c>
      <c r="CP28" s="61"/>
      <c r="CQ28" s="143"/>
      <c r="CR28" s="13">
        <f t="shared" si="33"/>
        <v>0.40000000000000036</v>
      </c>
      <c r="CS28" s="62"/>
      <c r="CT28" s="143"/>
      <c r="CU28" s="14">
        <f t="shared" si="23"/>
        <v>0.40000000000000036</v>
      </c>
      <c r="CV28" s="5">
        <f t="shared" si="24"/>
        <v>36</v>
      </c>
      <c r="CW28" s="4">
        <f t="shared" si="24"/>
        <v>46.3</v>
      </c>
      <c r="CX28" s="6">
        <f t="shared" si="25"/>
        <v>0.40000000000000036</v>
      </c>
      <c r="CY28" s="162">
        <v>100</v>
      </c>
      <c r="CZ28" s="171">
        <f t="shared" si="26"/>
        <v>40.000000000000036</v>
      </c>
      <c r="DB28" s="2">
        <f t="shared" si="34"/>
        <v>0.40000000000000036</v>
      </c>
      <c r="DC28" s="62"/>
      <c r="DD28" s="143"/>
      <c r="DE28" s="149">
        <f t="shared" si="35"/>
        <v>0.40000000000000036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45</v>
      </c>
      <c r="G29" s="62">
        <f>-32+80+20</f>
        <v>68</v>
      </c>
      <c r="H29" s="143">
        <f>6+5+34</f>
        <v>45</v>
      </c>
      <c r="I29" s="13">
        <f t="shared" si="0"/>
        <v>68</v>
      </c>
      <c r="J29" s="62"/>
      <c r="K29" s="143"/>
      <c r="L29" s="13">
        <f t="shared" si="1"/>
        <v>68</v>
      </c>
      <c r="M29" s="62">
        <v>50</v>
      </c>
      <c r="N29" s="143">
        <f>5+10+48</f>
        <v>63</v>
      </c>
      <c r="O29" s="13">
        <f t="shared" si="2"/>
        <v>55</v>
      </c>
      <c r="P29" s="62">
        <f>-20+50+30</f>
        <v>60</v>
      </c>
      <c r="Q29" s="143">
        <f>3+4+48</f>
        <v>55</v>
      </c>
      <c r="R29" s="30">
        <f t="shared" si="3"/>
        <v>60</v>
      </c>
      <c r="S29" s="62">
        <f>-10+50+10</f>
        <v>50</v>
      </c>
      <c r="T29" s="143">
        <f>5+4+51</f>
        <v>60</v>
      </c>
      <c r="U29" s="13">
        <f t="shared" si="4"/>
        <v>50</v>
      </c>
      <c r="V29" s="62"/>
      <c r="W29" s="143"/>
      <c r="X29" s="13">
        <f>U29+V29-W29</f>
        <v>50</v>
      </c>
      <c r="Y29" s="62">
        <v>40</v>
      </c>
      <c r="Z29" s="143">
        <f>5+37</f>
        <v>42</v>
      </c>
      <c r="AA29" s="13">
        <f t="shared" si="27"/>
        <v>48</v>
      </c>
      <c r="AB29" s="62">
        <f>-21-20+60+40+20</f>
        <v>79</v>
      </c>
      <c r="AC29" s="143">
        <f>6+9+33</f>
        <v>48</v>
      </c>
      <c r="AD29" s="13">
        <f t="shared" si="28"/>
        <v>79</v>
      </c>
      <c r="AE29" s="62"/>
      <c r="AF29" s="143"/>
      <c r="AG29" s="13">
        <f>AD29+AE29-AF29</f>
        <v>79</v>
      </c>
      <c r="AH29" s="62">
        <f>40+20+60</f>
        <v>120</v>
      </c>
      <c r="AI29" s="143">
        <f>9+2+5+3+42</f>
        <v>61</v>
      </c>
      <c r="AJ29" s="13">
        <f t="shared" si="30"/>
        <v>138</v>
      </c>
      <c r="AK29" s="62">
        <v>10</v>
      </c>
      <c r="AL29" s="143">
        <f>8+3+2+44</f>
        <v>57</v>
      </c>
      <c r="AM29" s="13">
        <f t="shared" si="6"/>
        <v>91</v>
      </c>
      <c r="AN29" s="62">
        <f>30+30</f>
        <v>60</v>
      </c>
      <c r="AO29" s="143">
        <f>5+4+76</f>
        <v>85</v>
      </c>
      <c r="AP29" s="13">
        <f t="shared" si="7"/>
        <v>66</v>
      </c>
      <c r="AQ29" s="62"/>
      <c r="AR29" s="143"/>
      <c r="AS29" s="13">
        <f t="shared" si="8"/>
        <v>66</v>
      </c>
      <c r="AT29" s="62">
        <f>-10+70+10</f>
        <v>70</v>
      </c>
      <c r="AU29" s="143">
        <f>8+4+9+2+5+37</f>
        <v>65</v>
      </c>
      <c r="AV29" s="13">
        <f t="shared" si="9"/>
        <v>71</v>
      </c>
      <c r="AW29" s="62">
        <f>-18+40+40</f>
        <v>62</v>
      </c>
      <c r="AX29" s="143">
        <f>4+7+60</f>
        <v>71</v>
      </c>
      <c r="AY29" s="13">
        <f t="shared" si="10"/>
        <v>62</v>
      </c>
      <c r="AZ29" s="61"/>
      <c r="BA29" s="143"/>
      <c r="BB29" s="13">
        <f t="shared" si="11"/>
        <v>62</v>
      </c>
      <c r="BC29" s="62">
        <f>50+10</f>
        <v>60</v>
      </c>
      <c r="BD29" s="143">
        <f>3+5+50</f>
        <v>58</v>
      </c>
      <c r="BE29" s="13">
        <f t="shared" si="12"/>
        <v>64</v>
      </c>
      <c r="BF29" s="62">
        <f>-3+40+50</f>
        <v>87</v>
      </c>
      <c r="BG29" s="143">
        <f>4+60</f>
        <v>64</v>
      </c>
      <c r="BH29" s="13">
        <f t="shared" si="13"/>
        <v>87</v>
      </c>
      <c r="BI29" s="62">
        <f>50+50</f>
        <v>100</v>
      </c>
      <c r="BJ29" s="143">
        <f>7+61</f>
        <v>68</v>
      </c>
      <c r="BK29" s="13">
        <f t="shared" si="14"/>
        <v>119</v>
      </c>
      <c r="BL29" s="62"/>
      <c r="BM29" s="143"/>
      <c r="BN29" s="13">
        <f t="shared" si="15"/>
        <v>119</v>
      </c>
      <c r="BO29" s="62"/>
      <c r="BP29" s="143">
        <f>2+65+5</f>
        <v>72</v>
      </c>
      <c r="BQ29" s="13">
        <f t="shared" si="16"/>
        <v>47</v>
      </c>
      <c r="BR29" s="62">
        <f>-14+84+10</f>
        <v>80</v>
      </c>
      <c r="BS29" s="143">
        <f>3+5+5+34</f>
        <v>47</v>
      </c>
      <c r="BT29" s="13">
        <f t="shared" si="17"/>
        <v>80</v>
      </c>
      <c r="BU29" s="62"/>
      <c r="BV29" s="143"/>
      <c r="BW29" s="13">
        <f t="shared" si="18"/>
        <v>80</v>
      </c>
      <c r="BX29" s="62">
        <f>-21+10+70</f>
        <v>59</v>
      </c>
      <c r="BY29" s="143">
        <f>11+3+2+3+2+46+11</f>
        <v>78</v>
      </c>
      <c r="BZ29" s="13">
        <f t="shared" si="19"/>
        <v>61</v>
      </c>
      <c r="CA29" s="62">
        <f>50+20</f>
        <v>70</v>
      </c>
      <c r="CB29" s="143">
        <f>2+3+2+36</f>
        <v>43</v>
      </c>
      <c r="CC29" s="13">
        <f t="shared" si="20"/>
        <v>88</v>
      </c>
      <c r="CD29" s="62">
        <f>40+20</f>
        <v>60</v>
      </c>
      <c r="CE29" s="143">
        <f>3+6+69</f>
        <v>78</v>
      </c>
      <c r="CF29" s="13">
        <f t="shared" si="21"/>
        <v>70</v>
      </c>
      <c r="CG29" s="62"/>
      <c r="CH29" s="143"/>
      <c r="CI29" s="13">
        <f t="shared" si="31"/>
        <v>70</v>
      </c>
      <c r="CJ29" s="62">
        <f>27+30</f>
        <v>57</v>
      </c>
      <c r="CK29" s="143">
        <f>2+8+4+4+3+2+39</f>
        <v>62</v>
      </c>
      <c r="CL29" s="13">
        <f t="shared" si="32"/>
        <v>65</v>
      </c>
      <c r="CM29" s="61">
        <f>-16+20+20</f>
        <v>24</v>
      </c>
      <c r="CN29" s="143">
        <f>4+3+9+49</f>
        <v>65</v>
      </c>
      <c r="CO29" s="13">
        <f t="shared" si="22"/>
        <v>24</v>
      </c>
      <c r="CP29" s="61"/>
      <c r="CQ29" s="143"/>
      <c r="CR29" s="13">
        <f t="shared" si="33"/>
        <v>24</v>
      </c>
      <c r="CS29" s="62">
        <f>-30+40</f>
        <v>10</v>
      </c>
      <c r="CT29" s="143">
        <f>3+3+18</f>
        <v>24</v>
      </c>
      <c r="CU29" s="14">
        <f t="shared" si="23"/>
        <v>10</v>
      </c>
      <c r="CV29" s="5">
        <f t="shared" si="24"/>
        <v>1276</v>
      </c>
      <c r="CW29" s="4">
        <f t="shared" si="24"/>
        <v>1311</v>
      </c>
      <c r="CX29" s="6">
        <f t="shared" si="25"/>
        <v>10</v>
      </c>
      <c r="CY29" s="162">
        <v>120</v>
      </c>
      <c r="CZ29" s="171">
        <f t="shared" si="26"/>
        <v>1200</v>
      </c>
      <c r="DB29" s="2">
        <f t="shared" si="34"/>
        <v>10</v>
      </c>
      <c r="DC29" s="62"/>
      <c r="DD29" s="143"/>
      <c r="DE29" s="149">
        <f t="shared" si="35"/>
        <v>10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1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1"/>
      <c r="CN30" s="143"/>
      <c r="CO30" s="13">
        <f t="shared" si="22"/>
        <v>0</v>
      </c>
      <c r="CP30" s="61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2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1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1"/>
      <c r="CN31" s="143"/>
      <c r="CO31" s="13">
        <f t="shared" si="22"/>
        <v>0</v>
      </c>
      <c r="CP31" s="61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2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37</v>
      </c>
      <c r="G32" s="62">
        <f>-38+96</f>
        <v>58</v>
      </c>
      <c r="H32" s="143">
        <f>6+12+16</f>
        <v>34</v>
      </c>
      <c r="I32" s="13">
        <f t="shared" si="0"/>
        <v>61</v>
      </c>
      <c r="J32" s="62"/>
      <c r="K32" s="143">
        <f>8</f>
        <v>8</v>
      </c>
      <c r="L32" s="13">
        <f t="shared" si="1"/>
        <v>53</v>
      </c>
      <c r="M32" s="62">
        <v>48</v>
      </c>
      <c r="N32" s="143">
        <f>2+36+1</f>
        <v>39</v>
      </c>
      <c r="O32" s="13">
        <f t="shared" si="2"/>
        <v>62</v>
      </c>
      <c r="P32" s="62">
        <v>24</v>
      </c>
      <c r="Q32" s="143">
        <v>26</v>
      </c>
      <c r="R32" s="30">
        <f t="shared" si="3"/>
        <v>60</v>
      </c>
      <c r="S32" s="62">
        <f>-27+72</f>
        <v>45</v>
      </c>
      <c r="T32" s="143">
        <f>6+2+52</f>
        <v>60</v>
      </c>
      <c r="U32" s="13">
        <f t="shared" si="4"/>
        <v>45</v>
      </c>
      <c r="V32" s="62"/>
      <c r="W32" s="143"/>
      <c r="X32" s="13">
        <f t="shared" si="5"/>
        <v>45</v>
      </c>
      <c r="Y32" s="62">
        <v>72</v>
      </c>
      <c r="Z32" s="143">
        <f>6+5+15</f>
        <v>26</v>
      </c>
      <c r="AA32" s="13">
        <f t="shared" si="27"/>
        <v>91</v>
      </c>
      <c r="AB32" s="62">
        <f>24+48</f>
        <v>72</v>
      </c>
      <c r="AC32" s="143">
        <f>12+38+10</f>
        <v>60</v>
      </c>
      <c r="AD32" s="13">
        <f t="shared" si="28"/>
        <v>103</v>
      </c>
      <c r="AE32" s="62"/>
      <c r="AF32" s="143">
        <f>2+11+10</f>
        <v>23</v>
      </c>
      <c r="AG32" s="13">
        <f t="shared" si="29"/>
        <v>80</v>
      </c>
      <c r="AH32" s="62">
        <f>24+24</f>
        <v>48</v>
      </c>
      <c r="AI32" s="143">
        <f>6+13+29</f>
        <v>48</v>
      </c>
      <c r="AJ32" s="13">
        <f t="shared" si="30"/>
        <v>80</v>
      </c>
      <c r="AK32" s="62">
        <v>48</v>
      </c>
      <c r="AL32" s="143">
        <f>21+4+41</f>
        <v>66</v>
      </c>
      <c r="AM32" s="13">
        <f t="shared" si="6"/>
        <v>62</v>
      </c>
      <c r="AN32" s="62">
        <f>-46+72</f>
        <v>26</v>
      </c>
      <c r="AO32" s="143">
        <f>2+2+58</f>
        <v>62</v>
      </c>
      <c r="AP32" s="13">
        <f t="shared" si="7"/>
        <v>26</v>
      </c>
      <c r="AQ32" s="62"/>
      <c r="AR32" s="143"/>
      <c r="AS32" s="13">
        <f t="shared" si="8"/>
        <v>26</v>
      </c>
      <c r="AT32" s="62">
        <f>-9+96</f>
        <v>87</v>
      </c>
      <c r="AU32" s="143">
        <v>26</v>
      </c>
      <c r="AV32" s="13">
        <f t="shared" si="9"/>
        <v>87</v>
      </c>
      <c r="AW32" s="62">
        <f>-13+72</f>
        <v>59</v>
      </c>
      <c r="AX32" s="143">
        <f>2+3+9+6+65</f>
        <v>85</v>
      </c>
      <c r="AY32" s="13">
        <f t="shared" si="10"/>
        <v>61</v>
      </c>
      <c r="AZ32" s="61"/>
      <c r="BA32" s="143">
        <f>8</f>
        <v>8</v>
      </c>
      <c r="BB32" s="13">
        <f t="shared" si="11"/>
        <v>53</v>
      </c>
      <c r="BC32" s="62">
        <v>48</v>
      </c>
      <c r="BD32" s="143">
        <f>4+28+5</f>
        <v>37</v>
      </c>
      <c r="BE32" s="13">
        <f t="shared" si="12"/>
        <v>64</v>
      </c>
      <c r="BF32" s="62">
        <v>96</v>
      </c>
      <c r="BG32" s="143">
        <f>4+42</f>
        <v>46</v>
      </c>
      <c r="BH32" s="13">
        <f t="shared" si="13"/>
        <v>114</v>
      </c>
      <c r="BI32" s="62">
        <f>48+72</f>
        <v>120</v>
      </c>
      <c r="BJ32" s="143">
        <f>12+92</f>
        <v>104</v>
      </c>
      <c r="BK32" s="13">
        <f t="shared" si="14"/>
        <v>130</v>
      </c>
      <c r="BL32" s="62"/>
      <c r="BM32" s="143"/>
      <c r="BN32" s="13">
        <f t="shared" si="15"/>
        <v>130</v>
      </c>
      <c r="BO32" s="62"/>
      <c r="BP32" s="143">
        <f>8+72</f>
        <v>80</v>
      </c>
      <c r="BQ32" s="13">
        <f t="shared" si="16"/>
        <v>50</v>
      </c>
      <c r="BR32" s="62">
        <f>-18+48+48</f>
        <v>78</v>
      </c>
      <c r="BS32" s="143">
        <f>9+1+37+3</f>
        <v>50</v>
      </c>
      <c r="BT32" s="13">
        <f t="shared" si="17"/>
        <v>78</v>
      </c>
      <c r="BU32" s="62"/>
      <c r="BV32" s="143">
        <f>12+11</f>
        <v>23</v>
      </c>
      <c r="BW32" s="13">
        <f t="shared" si="18"/>
        <v>55</v>
      </c>
      <c r="BX32" s="62">
        <v>72</v>
      </c>
      <c r="BY32" s="143">
        <f>6+13+25+3</f>
        <v>47</v>
      </c>
      <c r="BZ32" s="13">
        <f t="shared" si="19"/>
        <v>80</v>
      </c>
      <c r="CA32" s="62">
        <v>48</v>
      </c>
      <c r="CB32" s="143">
        <f>4+22+18</f>
        <v>44</v>
      </c>
      <c r="CC32" s="13">
        <f t="shared" si="20"/>
        <v>84</v>
      </c>
      <c r="CD32" s="62">
        <f>-16+72</f>
        <v>56</v>
      </c>
      <c r="CE32" s="143">
        <f>8+76</f>
        <v>84</v>
      </c>
      <c r="CF32" s="13">
        <f t="shared" si="21"/>
        <v>56</v>
      </c>
      <c r="CG32" s="62"/>
      <c r="CH32" s="143"/>
      <c r="CI32" s="13">
        <f t="shared" si="31"/>
        <v>56</v>
      </c>
      <c r="CJ32" s="62">
        <f>-1+72</f>
        <v>71</v>
      </c>
      <c r="CK32" s="143">
        <f>6+49+1</f>
        <v>56</v>
      </c>
      <c r="CL32" s="13">
        <f t="shared" si="32"/>
        <v>71</v>
      </c>
      <c r="CM32" s="61">
        <f>-14+72</f>
        <v>58</v>
      </c>
      <c r="CN32" s="143">
        <f>7+2+62</f>
        <v>71</v>
      </c>
      <c r="CO32" s="13">
        <f t="shared" si="22"/>
        <v>58</v>
      </c>
      <c r="CP32" s="61"/>
      <c r="CQ32" s="143">
        <f>8</f>
        <v>8</v>
      </c>
      <c r="CR32" s="13">
        <f t="shared" si="33"/>
        <v>50</v>
      </c>
      <c r="CS32" s="62">
        <f>-12+24</f>
        <v>12</v>
      </c>
      <c r="CT32" s="143">
        <f>9+7+5+29</f>
        <v>50</v>
      </c>
      <c r="CU32" s="14">
        <f t="shared" si="23"/>
        <v>12</v>
      </c>
      <c r="CV32" s="5">
        <f t="shared" si="24"/>
        <v>1246</v>
      </c>
      <c r="CW32" s="4">
        <f t="shared" si="24"/>
        <v>1271</v>
      </c>
      <c r="CX32" s="6">
        <f t="shared" si="25"/>
        <v>12</v>
      </c>
      <c r="CY32" s="162">
        <v>96</v>
      </c>
      <c r="CZ32" s="171">
        <f t="shared" si="26"/>
        <v>1152</v>
      </c>
      <c r="DB32" s="2">
        <f t="shared" si="34"/>
        <v>12</v>
      </c>
      <c r="DC32" s="62"/>
      <c r="DD32" s="143"/>
      <c r="DE32" s="149">
        <f t="shared" si="35"/>
        <v>12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1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1"/>
      <c r="CN33" s="143"/>
      <c r="CO33" s="13">
        <f t="shared" si="22"/>
        <v>0</v>
      </c>
      <c r="CP33" s="61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2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1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1"/>
      <c r="CN34" s="143"/>
      <c r="CO34" s="13">
        <f t="shared" si="22"/>
        <v>0</v>
      </c>
      <c r="CP34" s="61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2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1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1"/>
      <c r="CN35" s="143"/>
      <c r="CO35" s="13">
        <f t="shared" si="22"/>
        <v>0</v>
      </c>
      <c r="CP35" s="61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2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19</v>
      </c>
      <c r="G36" s="62">
        <f>2+4</f>
        <v>6</v>
      </c>
      <c r="H36" s="143">
        <f>6+1</f>
        <v>7</v>
      </c>
      <c r="I36" s="13">
        <f t="shared" si="0"/>
        <v>18</v>
      </c>
      <c r="J36" s="62"/>
      <c r="K36" s="143">
        <f>4</f>
        <v>4</v>
      </c>
      <c r="L36" s="13">
        <f t="shared" si="1"/>
        <v>14</v>
      </c>
      <c r="M36" s="62">
        <f>2+4</f>
        <v>6</v>
      </c>
      <c r="N36" s="143">
        <f>1+7</f>
        <v>8</v>
      </c>
      <c r="O36" s="13">
        <f t="shared" si="2"/>
        <v>12</v>
      </c>
      <c r="P36" s="62">
        <f>2+4</f>
        <v>6</v>
      </c>
      <c r="Q36" s="143">
        <v>7</v>
      </c>
      <c r="R36" s="30">
        <f t="shared" si="3"/>
        <v>11</v>
      </c>
      <c r="S36" s="62">
        <f>2+4</f>
        <v>6</v>
      </c>
      <c r="T36" s="143">
        <f>6+5</f>
        <v>11</v>
      </c>
      <c r="U36" s="13">
        <f t="shared" si="4"/>
        <v>6</v>
      </c>
      <c r="V36" s="62"/>
      <c r="W36" s="143"/>
      <c r="X36" s="13">
        <f t="shared" si="5"/>
        <v>6</v>
      </c>
      <c r="Y36" s="62">
        <v>13</v>
      </c>
      <c r="Z36" s="143">
        <v>6</v>
      </c>
      <c r="AA36" s="13">
        <f t="shared" si="27"/>
        <v>13</v>
      </c>
      <c r="AB36" s="62">
        <f>4</f>
        <v>4</v>
      </c>
      <c r="AC36" s="143">
        <v>5</v>
      </c>
      <c r="AD36" s="13">
        <f t="shared" si="28"/>
        <v>12</v>
      </c>
      <c r="AE36" s="62"/>
      <c r="AF36" s="143"/>
      <c r="AG36" s="13">
        <f t="shared" si="29"/>
        <v>12</v>
      </c>
      <c r="AH36" s="62">
        <v>5</v>
      </c>
      <c r="AI36" s="143">
        <f>1+6</f>
        <v>7</v>
      </c>
      <c r="AJ36" s="13">
        <f t="shared" si="30"/>
        <v>10</v>
      </c>
      <c r="AK36" s="62">
        <f>4+6</f>
        <v>10</v>
      </c>
      <c r="AL36" s="143">
        <f>4+6</f>
        <v>10</v>
      </c>
      <c r="AM36" s="13">
        <f t="shared" si="6"/>
        <v>10</v>
      </c>
      <c r="AN36" s="62">
        <f>4</f>
        <v>4</v>
      </c>
      <c r="AO36" s="143">
        <f>1+5</f>
        <v>6</v>
      </c>
      <c r="AP36" s="13">
        <f t="shared" si="7"/>
        <v>8</v>
      </c>
      <c r="AQ36" s="62"/>
      <c r="AR36" s="143"/>
      <c r="AS36" s="13">
        <f t="shared" si="8"/>
        <v>8</v>
      </c>
      <c r="AT36" s="62">
        <f>-2+2+4+4</f>
        <v>8</v>
      </c>
      <c r="AU36" s="143">
        <f>6+2</f>
        <v>8</v>
      </c>
      <c r="AV36" s="13">
        <f t="shared" si="9"/>
        <v>8</v>
      </c>
      <c r="AW36" s="62">
        <f>2+4</f>
        <v>6</v>
      </c>
      <c r="AX36" s="143">
        <v>5</v>
      </c>
      <c r="AY36" s="13">
        <f t="shared" si="10"/>
        <v>9</v>
      </c>
      <c r="AZ36" s="61"/>
      <c r="BA36" s="143"/>
      <c r="BB36" s="13">
        <f t="shared" si="11"/>
        <v>9</v>
      </c>
      <c r="BC36" s="62">
        <f>2+4</f>
        <v>6</v>
      </c>
      <c r="BD36" s="143">
        <v>5</v>
      </c>
      <c r="BE36" s="13">
        <f t="shared" si="12"/>
        <v>10</v>
      </c>
      <c r="BF36" s="62">
        <f>2+4+4</f>
        <v>10</v>
      </c>
      <c r="BG36" s="143">
        <f>4+2</f>
        <v>6</v>
      </c>
      <c r="BH36" s="13">
        <f t="shared" si="13"/>
        <v>14</v>
      </c>
      <c r="BI36" s="62">
        <f>2+4+6</f>
        <v>12</v>
      </c>
      <c r="BJ36" s="143">
        <f>4</f>
        <v>4</v>
      </c>
      <c r="BK36" s="13">
        <f t="shared" si="14"/>
        <v>22</v>
      </c>
      <c r="BL36" s="62"/>
      <c r="BM36" s="143"/>
      <c r="BN36" s="13">
        <f t="shared" si="15"/>
        <v>22</v>
      </c>
      <c r="BO36" s="62"/>
      <c r="BP36" s="143">
        <f>5+5</f>
        <v>10</v>
      </c>
      <c r="BQ36" s="13">
        <f t="shared" si="16"/>
        <v>12</v>
      </c>
      <c r="BR36" s="62">
        <f>2+4</f>
        <v>6</v>
      </c>
      <c r="BS36" s="143">
        <v>7</v>
      </c>
      <c r="BT36" s="13">
        <f t="shared" si="17"/>
        <v>11</v>
      </c>
      <c r="BU36" s="62"/>
      <c r="BV36" s="143">
        <v>1</v>
      </c>
      <c r="BW36" s="13">
        <f t="shared" si="18"/>
        <v>10</v>
      </c>
      <c r="BX36" s="62">
        <f>4+1</f>
        <v>5</v>
      </c>
      <c r="BY36" s="143">
        <v>4</v>
      </c>
      <c r="BZ36" s="13">
        <f t="shared" si="19"/>
        <v>11</v>
      </c>
      <c r="CA36" s="62">
        <f>2+4+6</f>
        <v>12</v>
      </c>
      <c r="CB36" s="143">
        <f>7+4</f>
        <v>11</v>
      </c>
      <c r="CC36" s="13">
        <f t="shared" si="20"/>
        <v>12</v>
      </c>
      <c r="CD36" s="62">
        <f>2+4</f>
        <v>6</v>
      </c>
      <c r="CE36" s="143">
        <v>6</v>
      </c>
      <c r="CF36" s="13">
        <f t="shared" si="21"/>
        <v>12</v>
      </c>
      <c r="CG36" s="62"/>
      <c r="CH36" s="143"/>
      <c r="CI36" s="13">
        <f t="shared" si="31"/>
        <v>12</v>
      </c>
      <c r="CJ36" s="62">
        <v>6</v>
      </c>
      <c r="CK36" s="143">
        <v>4</v>
      </c>
      <c r="CL36" s="13">
        <f t="shared" si="32"/>
        <v>14</v>
      </c>
      <c r="CM36" s="61">
        <f>2+4</f>
        <v>6</v>
      </c>
      <c r="CN36" s="143">
        <f>6+4</f>
        <v>10</v>
      </c>
      <c r="CO36" s="13">
        <f t="shared" si="22"/>
        <v>10</v>
      </c>
      <c r="CP36" s="61"/>
      <c r="CQ36" s="143"/>
      <c r="CR36" s="13">
        <f t="shared" si="33"/>
        <v>10</v>
      </c>
      <c r="CS36" s="62">
        <f>2+4</f>
        <v>6</v>
      </c>
      <c r="CT36" s="143">
        <f>7</f>
        <v>7</v>
      </c>
      <c r="CU36" s="14">
        <f t="shared" si="23"/>
        <v>9</v>
      </c>
      <c r="CV36" s="5">
        <f t="shared" si="24"/>
        <v>149</v>
      </c>
      <c r="CW36" s="4">
        <f t="shared" si="24"/>
        <v>159</v>
      </c>
      <c r="CX36" s="6">
        <f t="shared" si="25"/>
        <v>9</v>
      </c>
      <c r="CY36" s="162">
        <v>2000</v>
      </c>
      <c r="CZ36" s="171">
        <f t="shared" si="26"/>
        <v>18000</v>
      </c>
      <c r="DB36" s="2">
        <f t="shared" si="34"/>
        <v>9</v>
      </c>
      <c r="DC36" s="62"/>
      <c r="DD36" s="143"/>
      <c r="DE36" s="149">
        <f t="shared" si="35"/>
        <v>9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1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1"/>
      <c r="CN37" s="143"/>
      <c r="CO37" s="13">
        <f t="shared" si="22"/>
        <v>0</v>
      </c>
      <c r="CP37" s="61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2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1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12</v>
      </c>
      <c r="G39" s="62">
        <f>-3+10+10</f>
        <v>17</v>
      </c>
      <c r="H39" s="143">
        <f>2+3+5+1+1</f>
        <v>12</v>
      </c>
      <c r="I39" s="13">
        <f t="shared" si="0"/>
        <v>17</v>
      </c>
      <c r="J39" s="62"/>
      <c r="K39" s="143">
        <f>5</f>
        <v>5</v>
      </c>
      <c r="L39" s="13">
        <f t="shared" si="1"/>
        <v>12</v>
      </c>
      <c r="M39" s="62">
        <v>10</v>
      </c>
      <c r="N39" s="143">
        <f>5+2</f>
        <v>7</v>
      </c>
      <c r="O39" s="13">
        <f t="shared" si="2"/>
        <v>15</v>
      </c>
      <c r="P39" s="62"/>
      <c r="Q39" s="143">
        <f>1+1</f>
        <v>2</v>
      </c>
      <c r="R39" s="30">
        <f t="shared" si="3"/>
        <v>13</v>
      </c>
      <c r="S39" s="62"/>
      <c r="T39" s="143">
        <f>4</f>
        <v>4</v>
      </c>
      <c r="U39" s="13">
        <f t="shared" si="4"/>
        <v>9</v>
      </c>
      <c r="V39" s="62"/>
      <c r="W39" s="143"/>
      <c r="X39" s="13">
        <f t="shared" si="5"/>
        <v>9</v>
      </c>
      <c r="Y39" s="62">
        <v>10</v>
      </c>
      <c r="Z39" s="143">
        <v>4</v>
      </c>
      <c r="AA39" s="13">
        <f t="shared" si="27"/>
        <v>15</v>
      </c>
      <c r="AB39" s="62"/>
      <c r="AC39" s="143">
        <f>1+2+6</f>
        <v>9</v>
      </c>
      <c r="AD39" s="13">
        <f t="shared" si="28"/>
        <v>6</v>
      </c>
      <c r="AE39" s="62"/>
      <c r="AF39" s="143"/>
      <c r="AG39" s="13">
        <f t="shared" si="29"/>
        <v>6</v>
      </c>
      <c r="AH39" s="62">
        <v>10</v>
      </c>
      <c r="AI39" s="143">
        <v>4</v>
      </c>
      <c r="AJ39" s="13">
        <f t="shared" si="30"/>
        <v>12</v>
      </c>
      <c r="AK39" s="62"/>
      <c r="AL39" s="143">
        <f>4+3</f>
        <v>7</v>
      </c>
      <c r="AM39" s="13">
        <f t="shared" si="6"/>
        <v>5</v>
      </c>
      <c r="AN39" s="62">
        <v>10</v>
      </c>
      <c r="AO39" s="143">
        <f>2</f>
        <v>2</v>
      </c>
      <c r="AP39" s="13">
        <f t="shared" si="7"/>
        <v>13</v>
      </c>
      <c r="AQ39" s="62"/>
      <c r="AR39" s="143"/>
      <c r="AS39" s="13">
        <f t="shared" si="8"/>
        <v>13</v>
      </c>
      <c r="AT39" s="62">
        <v>20</v>
      </c>
      <c r="AU39" s="143">
        <f>3+5+2</f>
        <v>10</v>
      </c>
      <c r="AV39" s="13">
        <f t="shared" si="9"/>
        <v>23</v>
      </c>
      <c r="AW39" s="62">
        <v>10</v>
      </c>
      <c r="AX39" s="143">
        <f>8+11</f>
        <v>19</v>
      </c>
      <c r="AY39" s="13">
        <f t="shared" si="10"/>
        <v>14</v>
      </c>
      <c r="AZ39" s="61"/>
      <c r="BA39" s="143">
        <f>5</f>
        <v>5</v>
      </c>
      <c r="BB39" s="13">
        <f t="shared" si="11"/>
        <v>9</v>
      </c>
      <c r="BC39" s="62">
        <v>10</v>
      </c>
      <c r="BD39" s="143">
        <f>4+2</f>
        <v>6</v>
      </c>
      <c r="BE39" s="13">
        <f t="shared" si="12"/>
        <v>13</v>
      </c>
      <c r="BF39" s="62"/>
      <c r="BG39" s="143">
        <v>2</v>
      </c>
      <c r="BH39" s="13">
        <f t="shared" si="13"/>
        <v>11</v>
      </c>
      <c r="BI39" s="62"/>
      <c r="BJ39" s="143">
        <v>6</v>
      </c>
      <c r="BK39" s="13">
        <f t="shared" si="14"/>
        <v>5</v>
      </c>
      <c r="BL39" s="62"/>
      <c r="BM39" s="143"/>
      <c r="BN39" s="13">
        <f t="shared" si="15"/>
        <v>5</v>
      </c>
      <c r="BO39" s="62"/>
      <c r="BP39" s="143">
        <f>3</f>
        <v>3</v>
      </c>
      <c r="BQ39" s="13">
        <f t="shared" si="16"/>
        <v>2</v>
      </c>
      <c r="BR39" s="62">
        <f>-11+20</f>
        <v>9</v>
      </c>
      <c r="BS39" s="143">
        <f>1+1</f>
        <v>2</v>
      </c>
      <c r="BT39" s="13">
        <f t="shared" si="17"/>
        <v>9</v>
      </c>
      <c r="BU39" s="62"/>
      <c r="BV39" s="143"/>
      <c r="BW39" s="13">
        <f t="shared" si="18"/>
        <v>9</v>
      </c>
      <c r="BX39" s="62"/>
      <c r="BY39" s="143">
        <v>1</v>
      </c>
      <c r="BZ39" s="13">
        <f t="shared" si="19"/>
        <v>8</v>
      </c>
      <c r="CA39" s="62">
        <v>10</v>
      </c>
      <c r="CB39" s="143">
        <f>4+1+3</f>
        <v>8</v>
      </c>
      <c r="CC39" s="13">
        <f t="shared" si="20"/>
        <v>10</v>
      </c>
      <c r="CD39" s="62"/>
      <c r="CE39" s="143">
        <v>2</v>
      </c>
      <c r="CF39" s="13">
        <f t="shared" si="21"/>
        <v>8</v>
      </c>
      <c r="CG39" s="62"/>
      <c r="CH39" s="143"/>
      <c r="CI39" s="13">
        <f t="shared" si="31"/>
        <v>8</v>
      </c>
      <c r="CJ39" s="62"/>
      <c r="CK39" s="143">
        <v>2</v>
      </c>
      <c r="CL39" s="13">
        <f t="shared" si="32"/>
        <v>6</v>
      </c>
      <c r="CM39" s="61">
        <v>10</v>
      </c>
      <c r="CN39" s="143">
        <v>6</v>
      </c>
      <c r="CO39" s="13">
        <f t="shared" si="22"/>
        <v>10</v>
      </c>
      <c r="CP39" s="61"/>
      <c r="CQ39" s="143">
        <v>5</v>
      </c>
      <c r="CR39" s="13">
        <f t="shared" si="33"/>
        <v>5</v>
      </c>
      <c r="CS39" s="62"/>
      <c r="CT39" s="143">
        <v>3</v>
      </c>
      <c r="CU39" s="14">
        <f t="shared" si="23"/>
        <v>2</v>
      </c>
      <c r="CV39" s="5">
        <f t="shared" si="36"/>
        <v>126</v>
      </c>
      <c r="CW39" s="4">
        <f t="shared" si="36"/>
        <v>136</v>
      </c>
      <c r="CX39" s="6">
        <f t="shared" si="25"/>
        <v>2</v>
      </c>
      <c r="CY39" s="162">
        <v>110</v>
      </c>
      <c r="CZ39" s="171">
        <f t="shared" si="26"/>
        <v>220</v>
      </c>
      <c r="DB39" s="2">
        <f t="shared" si="34"/>
        <v>2</v>
      </c>
      <c r="DC39" s="62"/>
      <c r="DD39" s="143"/>
      <c r="DE39" s="149">
        <f t="shared" si="35"/>
        <v>2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19.959999999999997</v>
      </c>
      <c r="G40" s="62">
        <v>30</v>
      </c>
      <c r="H40" s="143">
        <f>1.7+1.2+1.8+2.6+1.5+1+1+1.6+1</f>
        <v>13.4</v>
      </c>
      <c r="I40" s="13">
        <f t="shared" si="0"/>
        <v>36.559999999999995</v>
      </c>
      <c r="J40" s="62"/>
      <c r="K40" s="143">
        <f>1+0.9+1.2+0.5+0.7+0.7+0.4+2.2</f>
        <v>7.6000000000000005</v>
      </c>
      <c r="L40" s="13">
        <f t="shared" si="1"/>
        <v>28.959999999999994</v>
      </c>
      <c r="M40" s="62"/>
      <c r="N40" s="143">
        <f>1+1.1+1.3+1.1+0.8+1.1</f>
        <v>6.4</v>
      </c>
      <c r="O40" s="13">
        <f t="shared" si="2"/>
        <v>22.559999999999995</v>
      </c>
      <c r="P40" s="62"/>
      <c r="Q40" s="143">
        <f>1.1+0.2+0.5+0.2+0.2</f>
        <v>2.2000000000000002</v>
      </c>
      <c r="R40" s="30">
        <f t="shared" si="3"/>
        <v>20.359999999999996</v>
      </c>
      <c r="S40" s="62">
        <v>30</v>
      </c>
      <c r="T40" s="143">
        <f>1.3+1+1+0.8</f>
        <v>4.0999999999999996</v>
      </c>
      <c r="U40" s="13">
        <f t="shared" si="4"/>
        <v>46.26</v>
      </c>
      <c r="V40" s="62"/>
      <c r="W40" s="143"/>
      <c r="X40" s="13">
        <f t="shared" si="5"/>
        <v>46.26</v>
      </c>
      <c r="Y40" s="62"/>
      <c r="Z40" s="143">
        <f>1.9+2.7+0.9+1.1+1.6+1.7+0.9+1.1+0.6+2.8</f>
        <v>15.299999999999997</v>
      </c>
      <c r="AA40" s="13">
        <f t="shared" si="27"/>
        <v>30.96</v>
      </c>
      <c r="AB40" s="62">
        <v>20</v>
      </c>
      <c r="AC40" s="143">
        <f>0.2+1.3+2.5+0.9+0.9+0.7+1.6+1+4</f>
        <v>13.100000000000001</v>
      </c>
      <c r="AD40" s="13">
        <f t="shared" si="28"/>
        <v>37.86</v>
      </c>
      <c r="AE40" s="62"/>
      <c r="AF40" s="143">
        <f>0.8+1.3+1.5+1.2+0.7+0.7</f>
        <v>6.2</v>
      </c>
      <c r="AG40" s="13">
        <f t="shared" si="29"/>
        <v>31.66</v>
      </c>
      <c r="AH40" s="62"/>
      <c r="AI40" s="143">
        <f>0.7+0.9+2.2+1.8+0.6</f>
        <v>6.2</v>
      </c>
      <c r="AJ40" s="13">
        <f t="shared" si="30"/>
        <v>25.46</v>
      </c>
      <c r="AK40" s="62">
        <v>20</v>
      </c>
      <c r="AL40" s="143">
        <f>0.7+1+0.4+0.2+0.2+0.1+4.5+0.8</f>
        <v>7.9</v>
      </c>
      <c r="AM40" s="13">
        <f t="shared" si="6"/>
        <v>37.56</v>
      </c>
      <c r="AN40" s="62"/>
      <c r="AO40" s="143">
        <f>0.5+1.5+1</f>
        <v>3</v>
      </c>
      <c r="AP40" s="13">
        <f t="shared" si="7"/>
        <v>34.56</v>
      </c>
      <c r="AQ40" s="62"/>
      <c r="AR40" s="143"/>
      <c r="AS40" s="13">
        <f t="shared" si="8"/>
        <v>34.56</v>
      </c>
      <c r="AT40" s="62">
        <v>20</v>
      </c>
      <c r="AU40" s="143">
        <f>1.5+0.9+1.1+1.5+0.8+1+2.2+0.8+0.8+0.8+0.5</f>
        <v>11.900000000000002</v>
      </c>
      <c r="AV40" s="13">
        <f t="shared" si="9"/>
        <v>42.66</v>
      </c>
      <c r="AW40" s="62"/>
      <c r="AX40" s="143">
        <f>1.7+1.3+1.4+1.7+1.3+1.1+0.6</f>
        <v>9.1</v>
      </c>
      <c r="AY40" s="13">
        <f t="shared" si="10"/>
        <v>33.559999999999995</v>
      </c>
      <c r="AZ40" s="61"/>
      <c r="BA40" s="143">
        <f>1.1+1.1+0.5+0.4+0.4+0.5+1+4</f>
        <v>9</v>
      </c>
      <c r="BB40" s="13">
        <f t="shared" si="11"/>
        <v>24.559999999999995</v>
      </c>
      <c r="BC40" s="62"/>
      <c r="BD40" s="143">
        <f>1.1+1.1+0.6+0.8+0.5+1.6+1</f>
        <v>6.7000000000000011</v>
      </c>
      <c r="BE40" s="13">
        <f t="shared" si="12"/>
        <v>17.859999999999992</v>
      </c>
      <c r="BF40" s="62">
        <v>30</v>
      </c>
      <c r="BG40" s="143">
        <f>1+0.2+0.5+0.2+0.2+0.2</f>
        <v>2.3000000000000003</v>
      </c>
      <c r="BH40" s="13">
        <f t="shared" si="13"/>
        <v>45.559999999999995</v>
      </c>
      <c r="BI40" s="62"/>
      <c r="BJ40" s="143">
        <f>1.1</f>
        <v>1.1000000000000001</v>
      </c>
      <c r="BK40" s="13">
        <f t="shared" si="14"/>
        <v>44.459999999999994</v>
      </c>
      <c r="BL40" s="62"/>
      <c r="BM40" s="143"/>
      <c r="BN40" s="13">
        <f t="shared" si="15"/>
        <v>44.459999999999994</v>
      </c>
      <c r="BO40" s="62"/>
      <c r="BP40" s="143">
        <v>0.5</v>
      </c>
      <c r="BQ40" s="13">
        <f t="shared" si="16"/>
        <v>43.959999999999994</v>
      </c>
      <c r="BR40" s="62">
        <v>20</v>
      </c>
      <c r="BS40" s="143">
        <f>1.3+2.1+2.5+1.9+1.5+1.5+0.6+4.5+2.3+1.4+1.8+1.1+1.3+1</f>
        <v>24.8</v>
      </c>
      <c r="BT40" s="13">
        <f t="shared" si="17"/>
        <v>39.159999999999997</v>
      </c>
      <c r="BU40" s="62"/>
      <c r="BV40" s="143">
        <f>0.8+1.8+1.5+1+1.4+0.8</f>
        <v>7.3</v>
      </c>
      <c r="BW40" s="13">
        <f t="shared" si="18"/>
        <v>31.859999999999996</v>
      </c>
      <c r="BX40" s="62"/>
      <c r="BY40" s="143">
        <f>0.7+1.4+2.2+1.4+0.6+1+5.5-0.7</f>
        <v>12.1</v>
      </c>
      <c r="BZ40" s="13">
        <f t="shared" si="19"/>
        <v>19.759999999999998</v>
      </c>
      <c r="CA40" s="62"/>
      <c r="CB40" s="143">
        <f>0.7+0.4+0.7+0.3+0.5</f>
        <v>2.6</v>
      </c>
      <c r="CC40" s="13">
        <f t="shared" si="20"/>
        <v>17.159999999999997</v>
      </c>
      <c r="CD40" s="62">
        <v>30</v>
      </c>
      <c r="CE40" s="143">
        <f>0.5</f>
        <v>0.5</v>
      </c>
      <c r="CF40" s="13">
        <f t="shared" si="21"/>
        <v>46.66</v>
      </c>
      <c r="CG40" s="62"/>
      <c r="CH40" s="143"/>
      <c r="CI40" s="13">
        <f t="shared" si="31"/>
        <v>46.66</v>
      </c>
      <c r="CJ40" s="62"/>
      <c r="CK40" s="143">
        <f>1.3+0.9+0.9+0.4+0.8+3.1+1.2+0.9+0.8+0.8+2+8</f>
        <v>21.1</v>
      </c>
      <c r="CL40" s="13">
        <f t="shared" si="32"/>
        <v>25.559999999999995</v>
      </c>
      <c r="CM40" s="62">
        <v>10</v>
      </c>
      <c r="CN40" s="143">
        <f>1.5+0.4+0.4+3.1+0.7+0.9+0.2+0.8</f>
        <v>8.0000000000000018</v>
      </c>
      <c r="CO40" s="13">
        <f t="shared" si="22"/>
        <v>27.559999999999995</v>
      </c>
      <c r="CP40" s="62">
        <v>1.5</v>
      </c>
      <c r="CQ40" s="143">
        <f>1+1.4+1.1+1.2+0.8+0.9</f>
        <v>6.4</v>
      </c>
      <c r="CR40" s="13">
        <f t="shared" si="33"/>
        <v>22.659999999999997</v>
      </c>
      <c r="CS40" s="62"/>
      <c r="CT40" s="143">
        <f>1.7+0.4+0.4+1.9+2.9+0.6</f>
        <v>7.9</v>
      </c>
      <c r="CU40" s="14">
        <f t="shared" si="23"/>
        <v>14.759999999999996</v>
      </c>
      <c r="CV40" s="5">
        <f t="shared" si="36"/>
        <v>211.5</v>
      </c>
      <c r="CW40" s="4">
        <f t="shared" si="36"/>
        <v>216.70000000000002</v>
      </c>
      <c r="CX40" s="6">
        <f t="shared" si="25"/>
        <v>14.759999999999996</v>
      </c>
      <c r="CY40" s="162">
        <v>260</v>
      </c>
      <c r="CZ40" s="171">
        <f t="shared" si="26"/>
        <v>3837.599999999999</v>
      </c>
      <c r="DB40" s="2">
        <f t="shared" si="34"/>
        <v>14.759999999999996</v>
      </c>
      <c r="DC40" s="62"/>
      <c r="DD40" s="143"/>
      <c r="DE40" s="149">
        <f t="shared" si="35"/>
        <v>14.759999999999996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1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1"/>
      <c r="CN41" s="143"/>
      <c r="CO41" s="13">
        <f t="shared" si="22"/>
        <v>0</v>
      </c>
      <c r="CP41" s="61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2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>
        <v>1</v>
      </c>
      <c r="H42" s="143"/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>
        <v>1</v>
      </c>
      <c r="Q42" s="143">
        <v>1</v>
      </c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2">
        <v>1</v>
      </c>
      <c r="AL42" s="143">
        <v>1</v>
      </c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1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>
        <v>1</v>
      </c>
      <c r="BG42" s="143">
        <v>1</v>
      </c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>
        <v>1</v>
      </c>
      <c r="CB42" s="143">
        <v>1</v>
      </c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/>
      <c r="CL42" s="13">
        <f t="shared" si="32"/>
        <v>1</v>
      </c>
      <c r="CM42" s="61"/>
      <c r="CN42" s="143"/>
      <c r="CO42" s="13">
        <f t="shared" si="22"/>
        <v>1</v>
      </c>
      <c r="CP42" s="61"/>
      <c r="CQ42" s="143"/>
      <c r="CR42" s="13">
        <f t="shared" si="33"/>
        <v>1</v>
      </c>
      <c r="CS42" s="62"/>
      <c r="CT42" s="143"/>
      <c r="CU42" s="14">
        <f t="shared" si="23"/>
        <v>1</v>
      </c>
      <c r="CV42" s="5">
        <f t="shared" si="36"/>
        <v>5</v>
      </c>
      <c r="CW42" s="4">
        <f t="shared" si="36"/>
        <v>4</v>
      </c>
      <c r="CX42" s="6">
        <f t="shared" si="25"/>
        <v>1</v>
      </c>
      <c r="CY42" s="162">
        <v>380</v>
      </c>
      <c r="CZ42" s="171">
        <f t="shared" si="26"/>
        <v>380</v>
      </c>
      <c r="DB42" s="2">
        <f t="shared" si="34"/>
        <v>1</v>
      </c>
      <c r="DC42" s="62"/>
      <c r="DD42" s="143"/>
      <c r="DE42" s="149">
        <f t="shared" si="35"/>
        <v>1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0.5</v>
      </c>
      <c r="G43" s="62">
        <f>1-1</f>
        <v>0</v>
      </c>
      <c r="H43" s="143"/>
      <c r="I43" s="13">
        <f t="shared" si="0"/>
        <v>0.5</v>
      </c>
      <c r="J43" s="62"/>
      <c r="K43" s="143"/>
      <c r="L43" s="13">
        <f t="shared" si="1"/>
        <v>0.5</v>
      </c>
      <c r="M43" s="62"/>
      <c r="N43" s="143"/>
      <c r="O43" s="13">
        <f t="shared" si="2"/>
        <v>0.5</v>
      </c>
      <c r="P43" s="62"/>
      <c r="Q43" s="143"/>
      <c r="R43" s="30">
        <f t="shared" si="3"/>
        <v>0.5</v>
      </c>
      <c r="S43" s="62"/>
      <c r="T43" s="143"/>
      <c r="U43" s="13">
        <f t="shared" si="4"/>
        <v>0.5</v>
      </c>
      <c r="V43" s="62"/>
      <c r="W43" s="143"/>
      <c r="X43" s="13">
        <f t="shared" si="5"/>
        <v>0.5</v>
      </c>
      <c r="Y43" s="62"/>
      <c r="Z43" s="143"/>
      <c r="AA43" s="13">
        <f t="shared" si="27"/>
        <v>0.5</v>
      </c>
      <c r="AB43" s="62">
        <v>1</v>
      </c>
      <c r="AC43" s="143"/>
      <c r="AD43" s="13">
        <f t="shared" si="28"/>
        <v>1.5</v>
      </c>
      <c r="AE43" s="62"/>
      <c r="AF43" s="143"/>
      <c r="AG43" s="13">
        <f t="shared" si="29"/>
        <v>1.5</v>
      </c>
      <c r="AH43" s="62"/>
      <c r="AI43" s="143">
        <v>1</v>
      </c>
      <c r="AJ43" s="13">
        <f t="shared" si="30"/>
        <v>0.5</v>
      </c>
      <c r="AK43" s="62"/>
      <c r="AL43" s="143"/>
      <c r="AM43" s="13">
        <f t="shared" si="6"/>
        <v>0.5</v>
      </c>
      <c r="AN43" s="62">
        <v>1</v>
      </c>
      <c r="AO43" s="143"/>
      <c r="AP43" s="13">
        <f t="shared" si="7"/>
        <v>1.5</v>
      </c>
      <c r="AQ43" s="62"/>
      <c r="AR43" s="143"/>
      <c r="AS43" s="13">
        <f t="shared" si="8"/>
        <v>1.5</v>
      </c>
      <c r="AT43" s="62"/>
      <c r="AU43" s="143">
        <v>1</v>
      </c>
      <c r="AV43" s="13">
        <f t="shared" si="9"/>
        <v>0.5</v>
      </c>
      <c r="AW43" s="62"/>
      <c r="AX43" s="143"/>
      <c r="AY43" s="13">
        <f t="shared" si="10"/>
        <v>0.5</v>
      </c>
      <c r="AZ43" s="61"/>
      <c r="BA43" s="143"/>
      <c r="BB43" s="13">
        <f t="shared" si="11"/>
        <v>0.5</v>
      </c>
      <c r="BC43" s="62"/>
      <c r="BD43" s="143"/>
      <c r="BE43" s="13">
        <f t="shared" si="12"/>
        <v>0.5</v>
      </c>
      <c r="BF43" s="62">
        <v>1</v>
      </c>
      <c r="BG43" s="143"/>
      <c r="BH43" s="13">
        <f t="shared" si="13"/>
        <v>1.5</v>
      </c>
      <c r="BI43" s="62"/>
      <c r="BJ43" s="143">
        <f>1</f>
        <v>1</v>
      </c>
      <c r="BK43" s="13">
        <f t="shared" si="14"/>
        <v>0.5</v>
      </c>
      <c r="BL43" s="62"/>
      <c r="BM43" s="143"/>
      <c r="BN43" s="13">
        <f t="shared" si="15"/>
        <v>0.5</v>
      </c>
      <c r="BO43" s="62"/>
      <c r="BP43" s="143"/>
      <c r="BQ43" s="13">
        <f t="shared" si="16"/>
        <v>0.5</v>
      </c>
      <c r="BR43" s="62"/>
      <c r="BS43" s="143"/>
      <c r="BT43" s="13">
        <f t="shared" si="17"/>
        <v>0.5</v>
      </c>
      <c r="BU43" s="62"/>
      <c r="BV43" s="143"/>
      <c r="BW43" s="13">
        <f t="shared" si="18"/>
        <v>0.5</v>
      </c>
      <c r="BX43" s="62"/>
      <c r="BY43" s="143"/>
      <c r="BZ43" s="13">
        <f t="shared" si="19"/>
        <v>0.5</v>
      </c>
      <c r="CA43" s="62">
        <v>1</v>
      </c>
      <c r="CB43" s="143"/>
      <c r="CC43" s="13">
        <f t="shared" si="20"/>
        <v>1.5</v>
      </c>
      <c r="CD43" s="62">
        <v>1</v>
      </c>
      <c r="CE43" s="143">
        <f>1</f>
        <v>1</v>
      </c>
      <c r="CF43" s="13">
        <f t="shared" si="21"/>
        <v>1.5</v>
      </c>
      <c r="CG43" s="62"/>
      <c r="CH43" s="143"/>
      <c r="CI43" s="13">
        <f t="shared" si="31"/>
        <v>1.5</v>
      </c>
      <c r="CJ43" s="62">
        <v>1</v>
      </c>
      <c r="CK43" s="143">
        <f>0.5+0.5+0.5</f>
        <v>1.5</v>
      </c>
      <c r="CL43" s="13">
        <f t="shared" si="32"/>
        <v>1</v>
      </c>
      <c r="CM43" s="62">
        <f>-1+1</f>
        <v>0</v>
      </c>
      <c r="CN43" s="143">
        <v>1</v>
      </c>
      <c r="CO43" s="13">
        <f t="shared" si="22"/>
        <v>0</v>
      </c>
      <c r="CP43" s="62"/>
      <c r="CQ43" s="143"/>
      <c r="CR43" s="13">
        <f t="shared" si="33"/>
        <v>0</v>
      </c>
      <c r="CS43" s="62">
        <f>-0.5+1</f>
        <v>0.5</v>
      </c>
      <c r="CT43" s="143"/>
      <c r="CU43" s="14">
        <f t="shared" si="23"/>
        <v>0.5</v>
      </c>
      <c r="CV43" s="5">
        <f t="shared" si="36"/>
        <v>6.5</v>
      </c>
      <c r="CW43" s="4">
        <f t="shared" si="36"/>
        <v>6.5</v>
      </c>
      <c r="CX43" s="6">
        <f t="shared" si="25"/>
        <v>0.5</v>
      </c>
      <c r="CY43" s="162">
        <v>280</v>
      </c>
      <c r="CZ43" s="171">
        <f t="shared" si="26"/>
        <v>140</v>
      </c>
      <c r="DB43" s="2">
        <f t="shared" si="34"/>
        <v>0.5</v>
      </c>
      <c r="DC43" s="62"/>
      <c r="DD43" s="143"/>
      <c r="DE43" s="149">
        <f t="shared" si="35"/>
        <v>0.5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1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1"/>
      <c r="CN44" s="143"/>
      <c r="CO44" s="13">
        <f t="shared" si="22"/>
        <v>0</v>
      </c>
      <c r="CP44" s="61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2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2</v>
      </c>
      <c r="G45" s="62"/>
      <c r="H45" s="143">
        <v>2</v>
      </c>
      <c r="I45" s="13">
        <f t="shared" si="0"/>
        <v>0</v>
      </c>
      <c r="J45" s="62"/>
      <c r="K45" s="143"/>
      <c r="L45" s="13">
        <f t="shared" si="1"/>
        <v>0</v>
      </c>
      <c r="M45" s="62"/>
      <c r="N45" s="143"/>
      <c r="O45" s="13">
        <f t="shared" si="2"/>
        <v>0</v>
      </c>
      <c r="P45" s="62"/>
      <c r="Q45" s="143"/>
      <c r="R45" s="30">
        <f t="shared" si="3"/>
        <v>0</v>
      </c>
      <c r="S45" s="62">
        <v>10</v>
      </c>
      <c r="T45" s="143"/>
      <c r="U45" s="13">
        <f t="shared" si="4"/>
        <v>10</v>
      </c>
      <c r="V45" s="62"/>
      <c r="W45" s="143"/>
      <c r="X45" s="13">
        <f t="shared" si="5"/>
        <v>10</v>
      </c>
      <c r="Y45" s="62"/>
      <c r="Z45" s="143">
        <v>10</v>
      </c>
      <c r="AA45" s="13">
        <f t="shared" si="27"/>
        <v>0</v>
      </c>
      <c r="AB45" s="62"/>
      <c r="AC45" s="143"/>
      <c r="AD45" s="13">
        <f t="shared" si="28"/>
        <v>0</v>
      </c>
      <c r="AE45" s="62"/>
      <c r="AF45" s="143"/>
      <c r="AG45" s="13">
        <f t="shared" si="29"/>
        <v>0</v>
      </c>
      <c r="AH45" s="62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/>
      <c r="AR45" s="143"/>
      <c r="AS45" s="13">
        <f t="shared" si="8"/>
        <v>0</v>
      </c>
      <c r="AT45" s="62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1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>
        <v>8</v>
      </c>
      <c r="BJ45" s="143"/>
      <c r="BK45" s="13">
        <f t="shared" si="14"/>
        <v>8</v>
      </c>
      <c r="BL45" s="62"/>
      <c r="BM45" s="143"/>
      <c r="BN45" s="13">
        <f t="shared" si="15"/>
        <v>8</v>
      </c>
      <c r="BO45" s="62"/>
      <c r="BP45" s="143"/>
      <c r="BQ45" s="13">
        <f t="shared" si="16"/>
        <v>8</v>
      </c>
      <c r="BR45" s="62"/>
      <c r="BS45" s="143">
        <v>5</v>
      </c>
      <c r="BT45" s="13">
        <f t="shared" si="17"/>
        <v>3</v>
      </c>
      <c r="BU45" s="62"/>
      <c r="BV45" s="143"/>
      <c r="BW45" s="13">
        <f t="shared" si="18"/>
        <v>3</v>
      </c>
      <c r="BX45" s="62"/>
      <c r="BY45" s="143">
        <v>3</v>
      </c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>
        <v>7</v>
      </c>
      <c r="CN45" s="143"/>
      <c r="CO45" s="13">
        <f t="shared" si="22"/>
        <v>7</v>
      </c>
      <c r="CP45" s="62"/>
      <c r="CQ45" s="143"/>
      <c r="CR45" s="13">
        <f t="shared" si="33"/>
        <v>7</v>
      </c>
      <c r="CS45" s="62"/>
      <c r="CT45" s="143">
        <f>3+3</f>
        <v>6</v>
      </c>
      <c r="CU45" s="14">
        <f t="shared" si="23"/>
        <v>1</v>
      </c>
      <c r="CV45" s="5">
        <f t="shared" si="36"/>
        <v>25</v>
      </c>
      <c r="CW45" s="4">
        <f t="shared" si="36"/>
        <v>26</v>
      </c>
      <c r="CX45" s="6">
        <f t="shared" si="25"/>
        <v>1</v>
      </c>
      <c r="CY45" s="162">
        <v>200</v>
      </c>
      <c r="CZ45" s="171">
        <f t="shared" si="26"/>
        <v>200</v>
      </c>
      <c r="DB45" s="2">
        <f t="shared" si="34"/>
        <v>1</v>
      </c>
      <c r="DC45" s="62"/>
      <c r="DD45" s="143"/>
      <c r="DE45" s="149">
        <f t="shared" si="35"/>
        <v>1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/>
      <c r="T46" s="143"/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>
        <v>3</v>
      </c>
      <c r="AC46" s="143"/>
      <c r="AD46" s="13">
        <f t="shared" si="28"/>
        <v>3</v>
      </c>
      <c r="AE46" s="176"/>
      <c r="AF46" s="143"/>
      <c r="AG46" s="13">
        <f t="shared" si="29"/>
        <v>3</v>
      </c>
      <c r="AH46" s="176"/>
      <c r="AI46" s="143">
        <v>3</v>
      </c>
      <c r="AJ46" s="13">
        <f t="shared" si="30"/>
        <v>0</v>
      </c>
      <c r="AK46" s="176"/>
      <c r="AL46" s="143"/>
      <c r="AM46" s="13">
        <f t="shared" si="6"/>
        <v>0</v>
      </c>
      <c r="AN46" s="176">
        <v>2</v>
      </c>
      <c r="AO46" s="143"/>
      <c r="AP46" s="13">
        <f t="shared" si="7"/>
        <v>2</v>
      </c>
      <c r="AQ46" s="176"/>
      <c r="AR46" s="143"/>
      <c r="AS46" s="13">
        <f t="shared" si="8"/>
        <v>2</v>
      </c>
      <c r="AT46" s="176"/>
      <c r="AU46" s="143">
        <v>2</v>
      </c>
      <c r="AV46" s="13">
        <f t="shared" si="9"/>
        <v>0</v>
      </c>
      <c r="AW46" s="176"/>
      <c r="AX46" s="143"/>
      <c r="AY46" s="13">
        <f t="shared" si="10"/>
        <v>0</v>
      </c>
      <c r="AZ46" s="63"/>
      <c r="BA46" s="143"/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63"/>
      <c r="CN46" s="143"/>
      <c r="CO46" s="13">
        <f t="shared" si="22"/>
        <v>0</v>
      </c>
      <c r="CP46" s="63"/>
      <c r="CQ46" s="143"/>
      <c r="CR46" s="13">
        <f t="shared" si="33"/>
        <v>0</v>
      </c>
      <c r="CS46" s="176"/>
      <c r="CT46" s="143"/>
      <c r="CU46" s="14">
        <f t="shared" si="23"/>
        <v>0</v>
      </c>
      <c r="CV46" s="5">
        <f t="shared" si="36"/>
        <v>5</v>
      </c>
      <c r="CW46" s="4">
        <f t="shared" si="36"/>
        <v>5</v>
      </c>
      <c r="CX46" s="6">
        <f t="shared" si="25"/>
        <v>0</v>
      </c>
      <c r="CY46" s="162">
        <v>0</v>
      </c>
      <c r="CZ46" s="171">
        <f t="shared" si="26"/>
        <v>0</v>
      </c>
      <c r="DB46" s="2">
        <f t="shared" si="34"/>
        <v>0</v>
      </c>
      <c r="DC46" s="176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13</v>
      </c>
      <c r="Z47" s="143"/>
      <c r="AA47" s="13">
        <f t="shared" si="27"/>
        <v>13</v>
      </c>
      <c r="AB47" s="176"/>
      <c r="AC47" s="143">
        <f>4+6+3</f>
        <v>13</v>
      </c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63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>
        <v>14</v>
      </c>
      <c r="BG47" s="143"/>
      <c r="BH47" s="13">
        <f t="shared" si="13"/>
        <v>14</v>
      </c>
      <c r="BI47" s="176">
        <v>4</v>
      </c>
      <c r="BJ47" s="143">
        <f>5</f>
        <v>5</v>
      </c>
      <c r="BK47" s="13">
        <f t="shared" si="14"/>
        <v>13</v>
      </c>
      <c r="BL47" s="176"/>
      <c r="BM47" s="143"/>
      <c r="BN47" s="13">
        <f t="shared" si="15"/>
        <v>13</v>
      </c>
      <c r="BO47" s="176"/>
      <c r="BP47" s="143"/>
      <c r="BQ47" s="13">
        <f t="shared" si="16"/>
        <v>13</v>
      </c>
      <c r="BR47" s="176"/>
      <c r="BS47" s="143">
        <f>6+3+4</f>
        <v>13</v>
      </c>
      <c r="BT47" s="13">
        <f t="shared" si="17"/>
        <v>0</v>
      </c>
      <c r="BU47" s="176"/>
      <c r="BV47" s="143"/>
      <c r="BW47" s="13">
        <f t="shared" si="18"/>
        <v>0</v>
      </c>
      <c r="BX47" s="176"/>
      <c r="BY47" s="143"/>
      <c r="BZ47" s="13">
        <f t="shared" si="19"/>
        <v>0</v>
      </c>
      <c r="CA47" s="176">
        <f>10+5</f>
        <v>15</v>
      </c>
      <c r="CB47" s="143"/>
      <c r="CC47" s="13">
        <f t="shared" si="20"/>
        <v>15</v>
      </c>
      <c r="CD47" s="176">
        <v>8</v>
      </c>
      <c r="CE47" s="143">
        <f>5+3+2</f>
        <v>10</v>
      </c>
      <c r="CF47" s="13">
        <f t="shared" si="21"/>
        <v>13</v>
      </c>
      <c r="CG47" s="176"/>
      <c r="CH47" s="143"/>
      <c r="CI47" s="13">
        <f t="shared" si="31"/>
        <v>13</v>
      </c>
      <c r="CJ47" s="176">
        <v>14</v>
      </c>
      <c r="CK47" s="143">
        <v>13</v>
      </c>
      <c r="CL47" s="13">
        <f t="shared" si="32"/>
        <v>14</v>
      </c>
      <c r="CM47" s="63">
        <v>2</v>
      </c>
      <c r="CN47" s="143">
        <f>4</f>
        <v>4</v>
      </c>
      <c r="CO47" s="13">
        <f t="shared" si="22"/>
        <v>12</v>
      </c>
      <c r="CP47" s="63"/>
      <c r="CQ47" s="143">
        <f>2</f>
        <v>2</v>
      </c>
      <c r="CR47" s="13">
        <f t="shared" si="33"/>
        <v>10</v>
      </c>
      <c r="CS47" s="176"/>
      <c r="CT47" s="143">
        <f>4+2+4</f>
        <v>10</v>
      </c>
      <c r="CU47" s="14">
        <f t="shared" si="23"/>
        <v>0</v>
      </c>
      <c r="CV47" s="5">
        <f t="shared" si="36"/>
        <v>70</v>
      </c>
      <c r="CW47" s="4">
        <f t="shared" si="36"/>
        <v>70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176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3.08</v>
      </c>
      <c r="G48" s="62">
        <v>4</v>
      </c>
      <c r="H48" s="143">
        <f>0.7+0.5+0.9</f>
        <v>2.1</v>
      </c>
      <c r="I48" s="13">
        <f t="shared" si="0"/>
        <v>4.9800000000000004</v>
      </c>
      <c r="J48" s="62"/>
      <c r="K48" s="143"/>
      <c r="L48" s="13">
        <f t="shared" si="1"/>
        <v>4.9800000000000004</v>
      </c>
      <c r="M48" s="62">
        <v>4</v>
      </c>
      <c r="N48" s="143">
        <f>0.5+1.2+1.1+1.1</f>
        <v>3.9</v>
      </c>
      <c r="O48" s="13">
        <f t="shared" si="2"/>
        <v>5.08</v>
      </c>
      <c r="P48" s="62">
        <v>4</v>
      </c>
      <c r="Q48" s="143">
        <f>0.1+0.1</f>
        <v>0.2</v>
      </c>
      <c r="R48" s="30">
        <f t="shared" si="3"/>
        <v>8.8800000000000008</v>
      </c>
      <c r="S48" s="62"/>
      <c r="T48" s="143">
        <f>2.5+1</f>
        <v>3.5</v>
      </c>
      <c r="U48" s="13">
        <f t="shared" si="4"/>
        <v>5.3800000000000008</v>
      </c>
      <c r="V48" s="62"/>
      <c r="W48" s="143"/>
      <c r="X48" s="13">
        <f t="shared" si="5"/>
        <v>5.3800000000000008</v>
      </c>
      <c r="Y48" s="62">
        <v>12</v>
      </c>
      <c r="Z48" s="143">
        <f>0.5+1.7+0.3+0.8</f>
        <v>3.3</v>
      </c>
      <c r="AA48" s="13">
        <f t="shared" si="27"/>
        <v>14.080000000000002</v>
      </c>
      <c r="AB48" s="62"/>
      <c r="AC48" s="143">
        <f>0.8+1.8+0.8</f>
        <v>3.4000000000000004</v>
      </c>
      <c r="AD48" s="13">
        <f t="shared" si="28"/>
        <v>10.680000000000001</v>
      </c>
      <c r="AE48" s="62"/>
      <c r="AF48" s="143">
        <f>0.1</f>
        <v>0.1</v>
      </c>
      <c r="AG48" s="13">
        <f t="shared" si="29"/>
        <v>10.580000000000002</v>
      </c>
      <c r="AH48" s="62"/>
      <c r="AI48" s="143">
        <f>0.7+0.8+0.8+0.5</f>
        <v>2.8</v>
      </c>
      <c r="AJ48" s="13">
        <f t="shared" si="30"/>
        <v>7.780000000000002</v>
      </c>
      <c r="AK48" s="62"/>
      <c r="AL48" s="143"/>
      <c r="AM48" s="13">
        <f t="shared" si="6"/>
        <v>7.780000000000002</v>
      </c>
      <c r="AN48" s="62"/>
      <c r="AO48" s="143">
        <f>0.8</f>
        <v>0.8</v>
      </c>
      <c r="AP48" s="13">
        <f t="shared" si="7"/>
        <v>6.9800000000000022</v>
      </c>
      <c r="AQ48" s="62"/>
      <c r="AR48" s="143"/>
      <c r="AS48" s="13">
        <f t="shared" si="8"/>
        <v>6.9800000000000022</v>
      </c>
      <c r="AT48" s="62"/>
      <c r="AU48" s="143">
        <f>0.2</f>
        <v>0.2</v>
      </c>
      <c r="AV48" s="13">
        <f t="shared" si="9"/>
        <v>6.780000000000002</v>
      </c>
      <c r="AW48" s="62"/>
      <c r="AX48" s="143">
        <f>0.7+0.5+0.4+0.5+0.4+0.5</f>
        <v>3</v>
      </c>
      <c r="AY48" s="13">
        <f t="shared" si="10"/>
        <v>3.780000000000002</v>
      </c>
      <c r="AZ48" s="61"/>
      <c r="BA48" s="143">
        <f>1.2+0.3+0.5</f>
        <v>2</v>
      </c>
      <c r="BB48" s="13">
        <f t="shared" si="11"/>
        <v>1.780000000000002</v>
      </c>
      <c r="BC48" s="62">
        <v>4</v>
      </c>
      <c r="BD48" s="143">
        <f>0.7</f>
        <v>0.7</v>
      </c>
      <c r="BE48" s="13">
        <f t="shared" si="12"/>
        <v>5.0800000000000018</v>
      </c>
      <c r="BF48" s="62">
        <v>4</v>
      </c>
      <c r="BG48" s="143"/>
      <c r="BH48" s="13">
        <f t="shared" si="13"/>
        <v>9.0800000000000018</v>
      </c>
      <c r="BI48" s="62"/>
      <c r="BJ48" s="143">
        <f>0.5+1</f>
        <v>1.5</v>
      </c>
      <c r="BK48" s="13">
        <f t="shared" si="14"/>
        <v>7.5800000000000018</v>
      </c>
      <c r="BL48" s="62"/>
      <c r="BM48" s="143"/>
      <c r="BN48" s="13">
        <f t="shared" si="15"/>
        <v>7.5800000000000018</v>
      </c>
      <c r="BO48" s="62"/>
      <c r="BP48" s="143"/>
      <c r="BQ48" s="13">
        <f t="shared" si="16"/>
        <v>7.5800000000000018</v>
      </c>
      <c r="BR48" s="62"/>
      <c r="BS48" s="143">
        <f>0.8+2+0.8+1</f>
        <v>4.5999999999999996</v>
      </c>
      <c r="BT48" s="13">
        <f t="shared" si="17"/>
        <v>2.9800000000000022</v>
      </c>
      <c r="BU48" s="62"/>
      <c r="BV48" s="143"/>
      <c r="BW48" s="13">
        <f t="shared" si="18"/>
        <v>2.9800000000000022</v>
      </c>
      <c r="BX48" s="62">
        <f>-0.1+4</f>
        <v>3.9</v>
      </c>
      <c r="BY48" s="143">
        <f>1+1.6+0.38</f>
        <v>2.98</v>
      </c>
      <c r="BZ48" s="13">
        <f t="shared" si="19"/>
        <v>3.9000000000000026</v>
      </c>
      <c r="CA48" s="62"/>
      <c r="CB48" s="143"/>
      <c r="CC48" s="13">
        <f t="shared" si="20"/>
        <v>3.9000000000000026</v>
      </c>
      <c r="CD48" s="62"/>
      <c r="CE48" s="143">
        <f>0.6+0.9</f>
        <v>1.5</v>
      </c>
      <c r="CF48" s="13">
        <f t="shared" si="21"/>
        <v>2.4000000000000026</v>
      </c>
      <c r="CG48" s="62"/>
      <c r="CH48" s="143"/>
      <c r="CI48" s="13">
        <f t="shared" si="31"/>
        <v>2.4000000000000026</v>
      </c>
      <c r="CJ48" s="62">
        <v>4</v>
      </c>
      <c r="CK48" s="143">
        <f>0.3+0.2</f>
        <v>0.5</v>
      </c>
      <c r="CL48" s="13">
        <f t="shared" si="32"/>
        <v>5.9000000000000021</v>
      </c>
      <c r="CM48" s="61"/>
      <c r="CN48" s="143">
        <f>0.5+0.5</f>
        <v>1</v>
      </c>
      <c r="CO48" s="13">
        <f t="shared" si="22"/>
        <v>4.9000000000000021</v>
      </c>
      <c r="CP48" s="61"/>
      <c r="CQ48" s="143"/>
      <c r="CR48" s="13">
        <f t="shared" si="33"/>
        <v>4.9000000000000021</v>
      </c>
      <c r="CS48" s="62"/>
      <c r="CT48" s="143">
        <f>1.2+0.5+0.9</f>
        <v>2.6</v>
      </c>
      <c r="CU48" s="14">
        <f t="shared" si="23"/>
        <v>2.300000000000002</v>
      </c>
      <c r="CV48" s="5">
        <f t="shared" si="36"/>
        <v>39.9</v>
      </c>
      <c r="CW48" s="4">
        <f t="shared" si="36"/>
        <v>40.68</v>
      </c>
      <c r="CX48" s="6">
        <f t="shared" si="25"/>
        <v>2.300000000000002</v>
      </c>
      <c r="CY48" s="162">
        <v>750</v>
      </c>
      <c r="CZ48" s="171">
        <f t="shared" si="26"/>
        <v>1725.0000000000016</v>
      </c>
      <c r="DB48" s="2">
        <f t="shared" si="34"/>
        <v>2.300000000000002</v>
      </c>
      <c r="DC48" s="62"/>
      <c r="DD48" s="143"/>
      <c r="DE48" s="149">
        <f t="shared" si="35"/>
        <v>2.300000000000002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12</v>
      </c>
      <c r="G49" s="62"/>
      <c r="H49" s="143">
        <v>5</v>
      </c>
      <c r="I49" s="13">
        <f t="shared" si="0"/>
        <v>7</v>
      </c>
      <c r="J49" s="62"/>
      <c r="K49" s="143"/>
      <c r="L49" s="13">
        <f t="shared" si="1"/>
        <v>7</v>
      </c>
      <c r="M49" s="62">
        <v>10</v>
      </c>
      <c r="N49" s="143">
        <v>3</v>
      </c>
      <c r="O49" s="13">
        <f t="shared" si="2"/>
        <v>14</v>
      </c>
      <c r="P49" s="62"/>
      <c r="Q49" s="143">
        <v>3</v>
      </c>
      <c r="R49" s="30">
        <f t="shared" si="3"/>
        <v>11</v>
      </c>
      <c r="S49" s="62"/>
      <c r="T49" s="143">
        <v>3</v>
      </c>
      <c r="U49" s="13">
        <f t="shared" si="4"/>
        <v>8</v>
      </c>
      <c r="V49" s="62"/>
      <c r="W49" s="143"/>
      <c r="X49" s="13">
        <f t="shared" si="5"/>
        <v>8</v>
      </c>
      <c r="Y49" s="62">
        <v>10</v>
      </c>
      <c r="Z49" s="143">
        <v>5</v>
      </c>
      <c r="AA49" s="13">
        <f t="shared" si="27"/>
        <v>13</v>
      </c>
      <c r="AB49" s="62"/>
      <c r="AC49" s="143">
        <v>3</v>
      </c>
      <c r="AD49" s="13">
        <f t="shared" si="28"/>
        <v>10</v>
      </c>
      <c r="AE49" s="62"/>
      <c r="AF49" s="143"/>
      <c r="AG49" s="13">
        <f t="shared" si="29"/>
        <v>10</v>
      </c>
      <c r="AH49" s="62">
        <v>10</v>
      </c>
      <c r="AI49" s="143">
        <v>3</v>
      </c>
      <c r="AJ49" s="13">
        <f t="shared" si="30"/>
        <v>17</v>
      </c>
      <c r="AK49" s="62"/>
      <c r="AL49" s="143">
        <v>4</v>
      </c>
      <c r="AM49" s="13">
        <f t="shared" si="6"/>
        <v>13</v>
      </c>
      <c r="AN49" s="62"/>
      <c r="AO49" s="143">
        <v>3</v>
      </c>
      <c r="AP49" s="13">
        <f t="shared" si="7"/>
        <v>10</v>
      </c>
      <c r="AQ49" s="62"/>
      <c r="AR49" s="143"/>
      <c r="AS49" s="13">
        <f t="shared" si="8"/>
        <v>10</v>
      </c>
      <c r="AT49" s="62">
        <v>10</v>
      </c>
      <c r="AU49" s="143">
        <v>4</v>
      </c>
      <c r="AV49" s="13">
        <f t="shared" si="9"/>
        <v>16</v>
      </c>
      <c r="AW49" s="62"/>
      <c r="AX49" s="143">
        <v>4</v>
      </c>
      <c r="AY49" s="13">
        <f t="shared" si="10"/>
        <v>12</v>
      </c>
      <c r="AZ49" s="61"/>
      <c r="BA49" s="143"/>
      <c r="BB49" s="13">
        <f t="shared" si="11"/>
        <v>12</v>
      </c>
      <c r="BC49" s="62"/>
      <c r="BD49" s="143">
        <v>3</v>
      </c>
      <c r="BE49" s="13">
        <f t="shared" si="12"/>
        <v>9</v>
      </c>
      <c r="BF49" s="62">
        <v>10</v>
      </c>
      <c r="BG49" s="143">
        <v>1</v>
      </c>
      <c r="BH49" s="13">
        <f t="shared" si="13"/>
        <v>18</v>
      </c>
      <c r="BI49" s="62"/>
      <c r="BJ49" s="143">
        <v>2</v>
      </c>
      <c r="BK49" s="13">
        <f t="shared" si="14"/>
        <v>16</v>
      </c>
      <c r="BL49" s="62"/>
      <c r="BM49" s="143"/>
      <c r="BN49" s="13">
        <f t="shared" si="15"/>
        <v>16</v>
      </c>
      <c r="BO49" s="62"/>
      <c r="BP49" s="143">
        <v>3</v>
      </c>
      <c r="BQ49" s="13">
        <f t="shared" si="16"/>
        <v>13</v>
      </c>
      <c r="BR49" s="62"/>
      <c r="BS49" s="143">
        <v>5</v>
      </c>
      <c r="BT49" s="13">
        <f t="shared" si="17"/>
        <v>8</v>
      </c>
      <c r="BU49" s="62"/>
      <c r="BV49" s="143"/>
      <c r="BW49" s="13">
        <f t="shared" si="18"/>
        <v>8</v>
      </c>
      <c r="BX49" s="62">
        <v>10</v>
      </c>
      <c r="BY49" s="143">
        <v>2</v>
      </c>
      <c r="BZ49" s="13">
        <f t="shared" si="19"/>
        <v>16</v>
      </c>
      <c r="CA49" s="62"/>
      <c r="CB49" s="143">
        <v>3</v>
      </c>
      <c r="CC49" s="13">
        <f t="shared" si="20"/>
        <v>13</v>
      </c>
      <c r="CD49" s="62"/>
      <c r="CE49" s="143">
        <v>1</v>
      </c>
      <c r="CF49" s="13">
        <f t="shared" si="21"/>
        <v>12</v>
      </c>
      <c r="CG49" s="62"/>
      <c r="CH49" s="143"/>
      <c r="CI49" s="13">
        <f t="shared" si="31"/>
        <v>12</v>
      </c>
      <c r="CJ49" s="62"/>
      <c r="CK49" s="143">
        <v>2</v>
      </c>
      <c r="CL49" s="13">
        <f t="shared" si="32"/>
        <v>10</v>
      </c>
      <c r="CM49" s="61"/>
      <c r="CN49" s="143">
        <v>2</v>
      </c>
      <c r="CO49" s="13">
        <f t="shared" si="22"/>
        <v>8</v>
      </c>
      <c r="CP49" s="61"/>
      <c r="CQ49" s="143"/>
      <c r="CR49" s="13">
        <f t="shared" si="33"/>
        <v>8</v>
      </c>
      <c r="CS49" s="62"/>
      <c r="CT49" s="143">
        <v>2</v>
      </c>
      <c r="CU49" s="14">
        <f t="shared" si="23"/>
        <v>6</v>
      </c>
      <c r="CV49" s="5">
        <f t="shared" si="36"/>
        <v>60</v>
      </c>
      <c r="CW49" s="4">
        <f t="shared" si="36"/>
        <v>66</v>
      </c>
      <c r="CX49" s="6">
        <f t="shared" si="25"/>
        <v>6</v>
      </c>
      <c r="CY49" s="162">
        <v>880</v>
      </c>
      <c r="CZ49" s="171">
        <f t="shared" si="26"/>
        <v>5280</v>
      </c>
      <c r="DB49" s="2">
        <f t="shared" si="34"/>
        <v>6</v>
      </c>
      <c r="DC49" s="62"/>
      <c r="DD49" s="143"/>
      <c r="DE49" s="149">
        <f t="shared" si="35"/>
        <v>6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1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1"/>
      <c r="CN50" s="143"/>
      <c r="CO50" s="13">
        <f t="shared" si="22"/>
        <v>0</v>
      </c>
      <c r="CP50" s="61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2"/>
      <c r="DD50" s="143"/>
      <c r="DE50" s="149">
        <f t="shared" si="35"/>
        <v>0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1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1"/>
      <c r="CN51" s="143"/>
      <c r="CO51" s="13">
        <f t="shared" si="22"/>
        <v>0</v>
      </c>
      <c r="CP51" s="61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2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1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1"/>
      <c r="CN52" s="143"/>
      <c r="CO52" s="13">
        <f t="shared" si="22"/>
        <v>0</v>
      </c>
      <c r="CP52" s="61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2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306</v>
      </c>
      <c r="E53" s="35" t="s">
        <v>27</v>
      </c>
      <c r="F53" s="14">
        <v>10</v>
      </c>
      <c r="G53" s="62">
        <f>-7+22</f>
        <v>15</v>
      </c>
      <c r="H53" s="143">
        <f>10</f>
        <v>10</v>
      </c>
      <c r="I53" s="13">
        <f t="shared" si="0"/>
        <v>15</v>
      </c>
      <c r="J53" s="62"/>
      <c r="K53" s="143"/>
      <c r="L53" s="13">
        <f t="shared" si="1"/>
        <v>15</v>
      </c>
      <c r="M53" s="62">
        <v>12</v>
      </c>
      <c r="N53" s="143">
        <f>12</f>
        <v>12</v>
      </c>
      <c r="O53" s="13">
        <f t="shared" si="2"/>
        <v>15</v>
      </c>
      <c r="P53" s="62">
        <v>17</v>
      </c>
      <c r="Q53" s="143">
        <v>12</v>
      </c>
      <c r="R53" s="13">
        <f t="shared" si="3"/>
        <v>20</v>
      </c>
      <c r="S53" s="62">
        <f>-9+24</f>
        <v>15</v>
      </c>
      <c r="T53" s="143">
        <v>20</v>
      </c>
      <c r="U53" s="13">
        <f t="shared" si="4"/>
        <v>15</v>
      </c>
      <c r="V53" s="62"/>
      <c r="W53" s="143"/>
      <c r="X53" s="13">
        <f t="shared" si="5"/>
        <v>15</v>
      </c>
      <c r="Y53" s="62">
        <f>-3+20</f>
        <v>17</v>
      </c>
      <c r="Z53" s="143">
        <v>15</v>
      </c>
      <c r="AA53" s="13">
        <f t="shared" si="27"/>
        <v>17</v>
      </c>
      <c r="AB53" s="62">
        <f>-4+21</f>
        <v>17</v>
      </c>
      <c r="AC53" s="143">
        <f>17</f>
        <v>17</v>
      </c>
      <c r="AD53" s="13">
        <f t="shared" si="28"/>
        <v>17</v>
      </c>
      <c r="AE53" s="62"/>
      <c r="AF53" s="143">
        <f>2</f>
        <v>2</v>
      </c>
      <c r="AG53" s="13">
        <f t="shared" si="29"/>
        <v>15</v>
      </c>
      <c r="AH53" s="62">
        <f>-2+17</f>
        <v>15</v>
      </c>
      <c r="AI53" s="143">
        <f>15</f>
        <v>15</v>
      </c>
      <c r="AJ53" s="13">
        <f t="shared" si="30"/>
        <v>15</v>
      </c>
      <c r="AK53" s="62">
        <f>11</f>
        <v>11</v>
      </c>
      <c r="AL53" s="143">
        <v>6</v>
      </c>
      <c r="AM53" s="13">
        <f t="shared" si="6"/>
        <v>20</v>
      </c>
      <c r="AN53" s="62">
        <f>-4+19</f>
        <v>15</v>
      </c>
      <c r="AO53" s="143">
        <f>20</f>
        <v>20</v>
      </c>
      <c r="AP53" s="13">
        <f t="shared" si="7"/>
        <v>15</v>
      </c>
      <c r="AQ53" s="62"/>
      <c r="AR53" s="143"/>
      <c r="AS53" s="13">
        <f t="shared" si="8"/>
        <v>15</v>
      </c>
      <c r="AT53" s="62">
        <v>17</v>
      </c>
      <c r="AU53" s="143">
        <v>12</v>
      </c>
      <c r="AV53" s="13">
        <f t="shared" si="9"/>
        <v>20</v>
      </c>
      <c r="AW53" s="62">
        <v>10</v>
      </c>
      <c r="AX53" s="143">
        <v>15</v>
      </c>
      <c r="AY53" s="13">
        <f t="shared" si="10"/>
        <v>15</v>
      </c>
      <c r="AZ53" s="61"/>
      <c r="BA53" s="143"/>
      <c r="BB53" s="13">
        <f t="shared" si="11"/>
        <v>15</v>
      </c>
      <c r="BC53" s="62">
        <v>16</v>
      </c>
      <c r="BD53" s="143">
        <v>11</v>
      </c>
      <c r="BE53" s="13">
        <f t="shared" si="12"/>
        <v>20</v>
      </c>
      <c r="BF53" s="62">
        <f>12</f>
        <v>12</v>
      </c>
      <c r="BG53" s="143">
        <f>7</f>
        <v>7</v>
      </c>
      <c r="BH53" s="13">
        <f t="shared" si="13"/>
        <v>25</v>
      </c>
      <c r="BI53" s="62">
        <v>25</v>
      </c>
      <c r="BJ53" s="143">
        <f>20</f>
        <v>20</v>
      </c>
      <c r="BK53" s="13">
        <f t="shared" si="14"/>
        <v>30</v>
      </c>
      <c r="BL53" s="62"/>
      <c r="BM53" s="143"/>
      <c r="BN53" s="13">
        <f t="shared" si="15"/>
        <v>30</v>
      </c>
      <c r="BO53" s="62"/>
      <c r="BP53" s="143">
        <v>14</v>
      </c>
      <c r="BQ53" s="13">
        <f t="shared" si="16"/>
        <v>16</v>
      </c>
      <c r="BR53" s="62">
        <f>-6+25</f>
        <v>19</v>
      </c>
      <c r="BS53" s="143">
        <v>16</v>
      </c>
      <c r="BT53" s="13">
        <f t="shared" si="17"/>
        <v>19</v>
      </c>
      <c r="BU53" s="62"/>
      <c r="BV53" s="143"/>
      <c r="BW53" s="13">
        <f t="shared" si="18"/>
        <v>19</v>
      </c>
      <c r="BX53" s="62">
        <v>6</v>
      </c>
      <c r="BY53" s="143">
        <v>5</v>
      </c>
      <c r="BZ53" s="13">
        <f t="shared" si="19"/>
        <v>20</v>
      </c>
      <c r="CA53" s="62">
        <v>11</v>
      </c>
      <c r="CB53" s="143">
        <v>6</v>
      </c>
      <c r="CC53" s="13">
        <f t="shared" si="20"/>
        <v>25</v>
      </c>
      <c r="CD53" s="62">
        <f>18</f>
        <v>18</v>
      </c>
      <c r="CE53" s="143">
        <f>23</f>
        <v>23</v>
      </c>
      <c r="CF53" s="13">
        <f t="shared" si="21"/>
        <v>20</v>
      </c>
      <c r="CG53" s="62"/>
      <c r="CH53" s="143"/>
      <c r="CI53" s="13">
        <f>CF53+CG53-CH53</f>
        <v>20</v>
      </c>
      <c r="CJ53" s="62">
        <v>19</v>
      </c>
      <c r="CK53" s="143">
        <v>14</v>
      </c>
      <c r="CL53" s="13">
        <f>CI53+CJ53-CK53</f>
        <v>25</v>
      </c>
      <c r="CM53" s="61">
        <v>8</v>
      </c>
      <c r="CN53" s="143">
        <v>18</v>
      </c>
      <c r="CO53" s="13">
        <f t="shared" si="22"/>
        <v>15</v>
      </c>
      <c r="CP53" s="61"/>
      <c r="CQ53" s="143"/>
      <c r="CR53" s="13">
        <f t="shared" si="33"/>
        <v>15</v>
      </c>
      <c r="CS53" s="62">
        <f>-1+7</f>
        <v>6</v>
      </c>
      <c r="CT53" s="143">
        <f>15</f>
        <v>15</v>
      </c>
      <c r="CU53" s="14">
        <f t="shared" si="23"/>
        <v>6</v>
      </c>
      <c r="CV53" s="5">
        <f t="shared" si="36"/>
        <v>301</v>
      </c>
      <c r="CW53" s="4">
        <f t="shared" si="36"/>
        <v>305</v>
      </c>
      <c r="CX53" s="6">
        <f t="shared" si="25"/>
        <v>6</v>
      </c>
      <c r="CY53" s="162">
        <v>85</v>
      </c>
      <c r="CZ53" s="171">
        <f t="shared" si="26"/>
        <v>510</v>
      </c>
      <c r="DB53" s="2">
        <f t="shared" si="34"/>
        <v>6</v>
      </c>
      <c r="DC53" s="62"/>
      <c r="DD53" s="143"/>
      <c r="DE53" s="149">
        <f t="shared" si="35"/>
        <v>6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1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1"/>
      <c r="CN54" s="143"/>
      <c r="CO54" s="13">
        <f t="shared" si="22"/>
        <v>0</v>
      </c>
      <c r="CP54" s="61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2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16</v>
      </c>
      <c r="G55" s="62"/>
      <c r="H55" s="143"/>
      <c r="I55" s="13">
        <f t="shared" si="0"/>
        <v>16</v>
      </c>
      <c r="J55" s="62"/>
      <c r="K55" s="143"/>
      <c r="L55" s="13">
        <f t="shared" si="1"/>
        <v>16</v>
      </c>
      <c r="M55" s="62"/>
      <c r="N55" s="143"/>
      <c r="O55" s="13">
        <f t="shared" si="2"/>
        <v>16</v>
      </c>
      <c r="P55" s="62"/>
      <c r="Q55" s="143">
        <v>8</v>
      </c>
      <c r="R55" s="13">
        <f t="shared" si="3"/>
        <v>8</v>
      </c>
      <c r="S55" s="62"/>
      <c r="T55" s="143"/>
      <c r="U55" s="13">
        <f t="shared" si="4"/>
        <v>8</v>
      </c>
      <c r="V55" s="62"/>
      <c r="W55" s="143"/>
      <c r="X55" s="13">
        <f t="shared" si="5"/>
        <v>8</v>
      </c>
      <c r="Y55" s="62"/>
      <c r="Z55" s="143"/>
      <c r="AA55" s="13">
        <f t="shared" si="27"/>
        <v>8</v>
      </c>
      <c r="AB55" s="62"/>
      <c r="AC55" s="143"/>
      <c r="AD55" s="13">
        <f t="shared" si="28"/>
        <v>8</v>
      </c>
      <c r="AE55" s="62"/>
      <c r="AF55" s="143"/>
      <c r="AG55" s="13">
        <f t="shared" si="29"/>
        <v>8</v>
      </c>
      <c r="AH55" s="62"/>
      <c r="AI55" s="143"/>
      <c r="AJ55" s="13">
        <f t="shared" si="30"/>
        <v>8</v>
      </c>
      <c r="AK55" s="62"/>
      <c r="AL55" s="143">
        <v>7</v>
      </c>
      <c r="AM55" s="13">
        <f t="shared" si="6"/>
        <v>1</v>
      </c>
      <c r="AN55" s="62">
        <v>10</v>
      </c>
      <c r="AO55" s="143"/>
      <c r="AP55" s="13">
        <f t="shared" si="7"/>
        <v>11</v>
      </c>
      <c r="AQ55" s="62"/>
      <c r="AR55" s="143"/>
      <c r="AS55" s="13">
        <f t="shared" si="8"/>
        <v>11</v>
      </c>
      <c r="AT55" s="62"/>
      <c r="AU55" s="143"/>
      <c r="AV55" s="13">
        <f t="shared" si="9"/>
        <v>11</v>
      </c>
      <c r="AW55" s="62"/>
      <c r="AX55" s="143"/>
      <c r="AY55" s="13">
        <f t="shared" si="10"/>
        <v>11</v>
      </c>
      <c r="AZ55" s="61"/>
      <c r="BA55" s="143"/>
      <c r="BB55" s="13">
        <f t="shared" si="11"/>
        <v>11</v>
      </c>
      <c r="BC55" s="62"/>
      <c r="BD55" s="143"/>
      <c r="BE55" s="13">
        <f t="shared" si="12"/>
        <v>11</v>
      </c>
      <c r="BF55" s="62">
        <v>10</v>
      </c>
      <c r="BG55" s="143">
        <v>8</v>
      </c>
      <c r="BH55" s="13">
        <f t="shared" si="13"/>
        <v>13</v>
      </c>
      <c r="BI55" s="62"/>
      <c r="BJ55" s="143"/>
      <c r="BK55" s="13">
        <f t="shared" si="14"/>
        <v>13</v>
      </c>
      <c r="BL55" s="62"/>
      <c r="BM55" s="143"/>
      <c r="BN55" s="13">
        <f t="shared" si="15"/>
        <v>13</v>
      </c>
      <c r="BO55" s="62"/>
      <c r="BP55" s="143"/>
      <c r="BQ55" s="13">
        <f t="shared" si="16"/>
        <v>13</v>
      </c>
      <c r="BR55" s="62"/>
      <c r="BS55" s="143"/>
      <c r="BT55" s="13">
        <f t="shared" si="17"/>
        <v>13</v>
      </c>
      <c r="BU55" s="62"/>
      <c r="BV55" s="143"/>
      <c r="BW55" s="13">
        <f t="shared" si="18"/>
        <v>13</v>
      </c>
      <c r="BX55" s="62"/>
      <c r="BY55" s="143"/>
      <c r="BZ55" s="13">
        <f t="shared" si="19"/>
        <v>13</v>
      </c>
      <c r="CA55" s="62"/>
      <c r="CB55" s="143">
        <v>8</v>
      </c>
      <c r="CC55" s="13">
        <f t="shared" si="20"/>
        <v>5</v>
      </c>
      <c r="CD55" s="62"/>
      <c r="CE55" s="143"/>
      <c r="CF55" s="13">
        <f t="shared" si="21"/>
        <v>5</v>
      </c>
      <c r="CG55" s="62"/>
      <c r="CH55" s="143"/>
      <c r="CI55" s="13">
        <f t="shared" si="31"/>
        <v>5</v>
      </c>
      <c r="CJ55" s="62"/>
      <c r="CK55" s="143"/>
      <c r="CL55" s="13">
        <f t="shared" si="32"/>
        <v>5</v>
      </c>
      <c r="CM55" s="61"/>
      <c r="CN55" s="143"/>
      <c r="CO55" s="13">
        <f t="shared" si="22"/>
        <v>5</v>
      </c>
      <c r="CP55" s="61"/>
      <c r="CQ55" s="143"/>
      <c r="CR55" s="13">
        <f t="shared" si="33"/>
        <v>5</v>
      </c>
      <c r="CS55" s="62"/>
      <c r="CT55" s="143"/>
      <c r="CU55" s="14">
        <f t="shared" si="23"/>
        <v>5</v>
      </c>
      <c r="CV55" s="5">
        <f t="shared" si="36"/>
        <v>20</v>
      </c>
      <c r="CW55" s="4">
        <f t="shared" si="36"/>
        <v>31</v>
      </c>
      <c r="CX55" s="6">
        <f t="shared" si="25"/>
        <v>5</v>
      </c>
      <c r="CY55" s="162">
        <v>92</v>
      </c>
      <c r="CZ55" s="171">
        <f t="shared" si="26"/>
        <v>460</v>
      </c>
      <c r="DB55" s="2">
        <f t="shared" si="34"/>
        <v>5</v>
      </c>
      <c r="DC55" s="62"/>
      <c r="DD55" s="143"/>
      <c r="DE55" s="149">
        <f t="shared" si="35"/>
        <v>5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>
        <v>1</v>
      </c>
      <c r="AC56" s="143"/>
      <c r="AD56" s="13">
        <f t="shared" si="28"/>
        <v>1</v>
      </c>
      <c r="AE56" s="62"/>
      <c r="AF56" s="143"/>
      <c r="AG56" s="13">
        <f t="shared" si="29"/>
        <v>1</v>
      </c>
      <c r="AH56" s="62"/>
      <c r="AI56" s="143">
        <v>1</v>
      </c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1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1"/>
      <c r="CN56" s="143"/>
      <c r="CO56" s="13">
        <f t="shared" si="22"/>
        <v>0</v>
      </c>
      <c r="CP56" s="61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1</v>
      </c>
      <c r="CW56" s="4">
        <f t="shared" si="36"/>
        <v>1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2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1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7.4000000000000021</v>
      </c>
      <c r="G58" s="62">
        <v>20</v>
      </c>
      <c r="H58" s="143">
        <f>2.7+2.4</f>
        <v>5.0999999999999996</v>
      </c>
      <c r="I58" s="13">
        <f t="shared" si="0"/>
        <v>22.300000000000004</v>
      </c>
      <c r="J58" s="62"/>
      <c r="K58" s="143">
        <f>1.1+7.6+4.7</f>
        <v>13.399999999999999</v>
      </c>
      <c r="L58" s="13">
        <f t="shared" si="1"/>
        <v>8.9000000000000057</v>
      </c>
      <c r="M58" s="62"/>
      <c r="N58" s="143">
        <f>0.2</f>
        <v>0.2</v>
      </c>
      <c r="O58" s="13">
        <f t="shared" si="2"/>
        <v>8.7000000000000064</v>
      </c>
      <c r="P58" s="62"/>
      <c r="Q58" s="143">
        <f>0.2+0.2</f>
        <v>0.4</v>
      </c>
      <c r="R58" s="13">
        <f t="shared" si="3"/>
        <v>8.300000000000006</v>
      </c>
      <c r="S58" s="62">
        <v>10</v>
      </c>
      <c r="T58" s="143">
        <v>1.6</v>
      </c>
      <c r="U58" s="13">
        <f t="shared" si="4"/>
        <v>16.700000000000003</v>
      </c>
      <c r="V58" s="62"/>
      <c r="W58" s="143"/>
      <c r="X58" s="13">
        <f t="shared" si="5"/>
        <v>16.700000000000003</v>
      </c>
      <c r="Y58" s="62"/>
      <c r="Z58" s="143">
        <f>1.2</f>
        <v>1.2</v>
      </c>
      <c r="AA58" s="13">
        <f t="shared" si="27"/>
        <v>15.500000000000004</v>
      </c>
      <c r="AB58" s="62"/>
      <c r="AC58" s="143">
        <f>1.5+1.4+1.2</f>
        <v>4.0999999999999996</v>
      </c>
      <c r="AD58" s="13">
        <f t="shared" si="28"/>
        <v>11.400000000000004</v>
      </c>
      <c r="AE58" s="62"/>
      <c r="AF58" s="143">
        <f>1.4+1.4</f>
        <v>2.8</v>
      </c>
      <c r="AG58" s="13">
        <f t="shared" si="29"/>
        <v>8.600000000000005</v>
      </c>
      <c r="AH58" s="62"/>
      <c r="AI58" s="143">
        <f>2.5</f>
        <v>2.5</v>
      </c>
      <c r="AJ58" s="13">
        <f t="shared" si="30"/>
        <v>6.100000000000005</v>
      </c>
      <c r="AK58" s="62">
        <v>10</v>
      </c>
      <c r="AL58" s="143">
        <f>0.4</f>
        <v>0.4</v>
      </c>
      <c r="AM58" s="13">
        <f t="shared" si="6"/>
        <v>15.700000000000005</v>
      </c>
      <c r="AN58" s="62"/>
      <c r="AO58" s="143"/>
      <c r="AP58" s="13">
        <f t="shared" si="7"/>
        <v>15.700000000000005</v>
      </c>
      <c r="AQ58" s="62"/>
      <c r="AR58" s="143"/>
      <c r="AS58" s="13">
        <f t="shared" si="8"/>
        <v>15.700000000000005</v>
      </c>
      <c r="AT58" s="62"/>
      <c r="AU58" s="143">
        <f>2.6+2.7+1.7</f>
        <v>7.0000000000000009</v>
      </c>
      <c r="AV58" s="13">
        <f t="shared" si="9"/>
        <v>8.7000000000000028</v>
      </c>
      <c r="AW58" s="62"/>
      <c r="AX58" s="143"/>
      <c r="AY58" s="13">
        <f t="shared" si="10"/>
        <v>8.7000000000000028</v>
      </c>
      <c r="AZ58" s="61"/>
      <c r="BA58" s="143">
        <f>1.1+2.2</f>
        <v>3.3000000000000003</v>
      </c>
      <c r="BB58" s="13">
        <f t="shared" si="11"/>
        <v>5.4000000000000021</v>
      </c>
      <c r="BC58" s="62">
        <v>10</v>
      </c>
      <c r="BD58" s="143">
        <f>2.5+2.5+0.2</f>
        <v>5.2</v>
      </c>
      <c r="BE58" s="13">
        <f t="shared" si="12"/>
        <v>10.200000000000003</v>
      </c>
      <c r="BF58" s="62">
        <f>10</f>
        <v>10</v>
      </c>
      <c r="BG58" s="143"/>
      <c r="BH58" s="13">
        <f t="shared" si="13"/>
        <v>20.200000000000003</v>
      </c>
      <c r="BI58" s="62"/>
      <c r="BJ58" s="143"/>
      <c r="BK58" s="13">
        <f t="shared" si="14"/>
        <v>20.200000000000003</v>
      </c>
      <c r="BL58" s="62"/>
      <c r="BM58" s="143"/>
      <c r="BN58" s="13">
        <f t="shared" si="15"/>
        <v>20.200000000000003</v>
      </c>
      <c r="BO58" s="62"/>
      <c r="BP58" s="143"/>
      <c r="BQ58" s="13">
        <f t="shared" si="16"/>
        <v>20.200000000000003</v>
      </c>
      <c r="BR58" s="62">
        <v>10</v>
      </c>
      <c r="BS58" s="143">
        <f>2.6+1.7+1.7+1.9+4.5+2.5</f>
        <v>14.9</v>
      </c>
      <c r="BT58" s="13">
        <f t="shared" si="17"/>
        <v>15.300000000000002</v>
      </c>
      <c r="BU58" s="62"/>
      <c r="BV58" s="143"/>
      <c r="BW58" s="13">
        <f t="shared" si="18"/>
        <v>15.300000000000002</v>
      </c>
      <c r="BX58" s="62"/>
      <c r="BY58" s="143">
        <f>2.8+2+2.8</f>
        <v>7.6</v>
      </c>
      <c r="BZ58" s="13">
        <f t="shared" si="19"/>
        <v>7.7000000000000028</v>
      </c>
      <c r="CA58" s="62"/>
      <c r="CB58" s="143">
        <f>0.3</f>
        <v>0.3</v>
      </c>
      <c r="CC58" s="13">
        <f t="shared" si="20"/>
        <v>7.400000000000003</v>
      </c>
      <c r="CD58" s="62">
        <v>10</v>
      </c>
      <c r="CE58" s="143"/>
      <c r="CF58" s="13">
        <f t="shared" si="21"/>
        <v>17.400000000000002</v>
      </c>
      <c r="CG58" s="62"/>
      <c r="CH58" s="143"/>
      <c r="CI58" s="13">
        <f t="shared" si="31"/>
        <v>17.400000000000002</v>
      </c>
      <c r="CJ58" s="62"/>
      <c r="CK58" s="143">
        <f>1.5+2.6+3.1+1.6+1.4</f>
        <v>10.199999999999999</v>
      </c>
      <c r="CL58" s="13">
        <f t="shared" si="32"/>
        <v>7.2000000000000028</v>
      </c>
      <c r="CM58" s="183">
        <v>2.1</v>
      </c>
      <c r="CN58" s="143"/>
      <c r="CO58" s="13">
        <f t="shared" si="22"/>
        <v>9.3000000000000025</v>
      </c>
      <c r="CP58" s="61"/>
      <c r="CQ58" s="143">
        <f>0.8+0.8</f>
        <v>1.6</v>
      </c>
      <c r="CR58" s="13">
        <f t="shared" si="33"/>
        <v>7.7000000000000028</v>
      </c>
      <c r="CS58" s="62">
        <f>-0.3+10</f>
        <v>9.6999999999999993</v>
      </c>
      <c r="CT58" s="143">
        <f>4.8+2.9</f>
        <v>7.6999999999999993</v>
      </c>
      <c r="CU58" s="14">
        <f t="shared" si="23"/>
        <v>9.7000000000000028</v>
      </c>
      <c r="CV58" s="5">
        <f t="shared" si="36"/>
        <v>91.8</v>
      </c>
      <c r="CW58" s="4">
        <f t="shared" si="36"/>
        <v>89.5</v>
      </c>
      <c r="CX58" s="6">
        <f t="shared" si="25"/>
        <v>9.7000000000000028</v>
      </c>
      <c r="CY58" s="162">
        <v>230</v>
      </c>
      <c r="CZ58" s="171">
        <f t="shared" si="26"/>
        <v>2231.0000000000005</v>
      </c>
      <c r="DB58" s="2">
        <f t="shared" si="34"/>
        <v>9.7000000000000028</v>
      </c>
      <c r="DC58" s="62"/>
      <c r="DD58" s="143"/>
      <c r="DE58" s="149">
        <f t="shared" si="35"/>
        <v>9.7000000000000028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33</v>
      </c>
      <c r="G59" s="62">
        <f>50</f>
        <v>50</v>
      </c>
      <c r="H59" s="143">
        <f>1+4+16+43</f>
        <v>64</v>
      </c>
      <c r="I59" s="13">
        <f t="shared" si="0"/>
        <v>19</v>
      </c>
      <c r="J59" s="62">
        <v>20</v>
      </c>
      <c r="K59" s="143"/>
      <c r="L59" s="13">
        <f t="shared" si="1"/>
        <v>39</v>
      </c>
      <c r="M59" s="62">
        <v>40</v>
      </c>
      <c r="N59" s="143">
        <f>2+11+17</f>
        <v>30</v>
      </c>
      <c r="O59" s="13">
        <f t="shared" si="2"/>
        <v>49</v>
      </c>
      <c r="P59" s="62">
        <v>50</v>
      </c>
      <c r="Q59" s="143">
        <f>3+7+18</f>
        <v>28</v>
      </c>
      <c r="R59" s="30">
        <f t="shared" si="3"/>
        <v>71</v>
      </c>
      <c r="S59" s="62">
        <v>30</v>
      </c>
      <c r="T59" s="143">
        <f>8+14+43</f>
        <v>65</v>
      </c>
      <c r="U59" s="13">
        <f t="shared" si="4"/>
        <v>36</v>
      </c>
      <c r="V59" s="62"/>
      <c r="W59" s="143"/>
      <c r="X59" s="13">
        <f t="shared" si="5"/>
        <v>36</v>
      </c>
      <c r="Y59" s="62">
        <v>40</v>
      </c>
      <c r="Z59" s="143">
        <f>3+10+22</f>
        <v>35</v>
      </c>
      <c r="AA59" s="13">
        <f t="shared" si="27"/>
        <v>41</v>
      </c>
      <c r="AB59" s="62">
        <v>40</v>
      </c>
      <c r="AC59" s="143">
        <f>5+15+22+12</f>
        <v>54</v>
      </c>
      <c r="AD59" s="13">
        <f t="shared" si="28"/>
        <v>27</v>
      </c>
      <c r="AE59" s="62">
        <v>20</v>
      </c>
      <c r="AF59" s="143"/>
      <c r="AG59" s="13">
        <f t="shared" si="29"/>
        <v>47</v>
      </c>
      <c r="AH59" s="62">
        <v>40</v>
      </c>
      <c r="AI59" s="143">
        <f>2+8+1+1+13</f>
        <v>25</v>
      </c>
      <c r="AJ59" s="13">
        <f t="shared" si="30"/>
        <v>62</v>
      </c>
      <c r="AK59" s="62">
        <v>50</v>
      </c>
      <c r="AL59" s="143">
        <f>2+7+22</f>
        <v>31</v>
      </c>
      <c r="AM59" s="13">
        <f t="shared" si="6"/>
        <v>81</v>
      </c>
      <c r="AN59" s="62">
        <v>30</v>
      </c>
      <c r="AO59" s="143">
        <f>8+2+7+43</f>
        <v>60</v>
      </c>
      <c r="AP59" s="13">
        <f t="shared" si="7"/>
        <v>51</v>
      </c>
      <c r="AQ59" s="62"/>
      <c r="AR59" s="143"/>
      <c r="AS59" s="13">
        <f t="shared" si="8"/>
        <v>51</v>
      </c>
      <c r="AT59" s="62">
        <v>50</v>
      </c>
      <c r="AU59" s="143">
        <f>6+8+21</f>
        <v>35</v>
      </c>
      <c r="AV59" s="13">
        <f t="shared" si="9"/>
        <v>66</v>
      </c>
      <c r="AW59" s="62">
        <v>40</v>
      </c>
      <c r="AX59" s="143">
        <f>2+12+39</f>
        <v>53</v>
      </c>
      <c r="AY59" s="13">
        <f t="shared" si="10"/>
        <v>53</v>
      </c>
      <c r="AZ59" s="61"/>
      <c r="BA59" s="143"/>
      <c r="BB59" s="13">
        <f t="shared" si="11"/>
        <v>53</v>
      </c>
      <c r="BC59" s="62">
        <v>40</v>
      </c>
      <c r="BD59" s="143">
        <f>2+9+9+3+2</f>
        <v>25</v>
      </c>
      <c r="BE59" s="13">
        <f t="shared" si="12"/>
        <v>68</v>
      </c>
      <c r="BF59" s="62">
        <f>50-10</f>
        <v>40</v>
      </c>
      <c r="BG59" s="143">
        <f>8+23</f>
        <v>31</v>
      </c>
      <c r="BH59" s="13">
        <f t="shared" si="13"/>
        <v>77</v>
      </c>
      <c r="BI59" s="62">
        <v>40</v>
      </c>
      <c r="BJ59" s="143">
        <f>2+11+8+49</f>
        <v>70</v>
      </c>
      <c r="BK59" s="13">
        <f t="shared" si="14"/>
        <v>47</v>
      </c>
      <c r="BL59" s="62"/>
      <c r="BM59" s="143"/>
      <c r="BN59" s="13">
        <f t="shared" si="15"/>
        <v>47</v>
      </c>
      <c r="BO59" s="62">
        <v>30</v>
      </c>
      <c r="BP59" s="143">
        <f>2+31+9</f>
        <v>42</v>
      </c>
      <c r="BQ59" s="13">
        <f t="shared" si="16"/>
        <v>35</v>
      </c>
      <c r="BR59" s="62">
        <v>40</v>
      </c>
      <c r="BS59" s="143">
        <f>4+15+23</f>
        <v>42</v>
      </c>
      <c r="BT59" s="13">
        <f t="shared" si="17"/>
        <v>33</v>
      </c>
      <c r="BU59" s="62"/>
      <c r="BV59" s="143"/>
      <c r="BW59" s="13">
        <f t="shared" si="18"/>
        <v>33</v>
      </c>
      <c r="BX59" s="62">
        <v>40</v>
      </c>
      <c r="BY59" s="143">
        <f>2+4+1+17+1</f>
        <v>25</v>
      </c>
      <c r="BZ59" s="13">
        <f t="shared" si="19"/>
        <v>48</v>
      </c>
      <c r="CA59" s="62">
        <v>50</v>
      </c>
      <c r="CB59" s="143">
        <f>-1+2+8+21</f>
        <v>30</v>
      </c>
      <c r="CC59" s="13">
        <f t="shared" si="20"/>
        <v>68</v>
      </c>
      <c r="CD59" s="62">
        <v>30</v>
      </c>
      <c r="CE59" s="143">
        <f>4+26+49</f>
        <v>79</v>
      </c>
      <c r="CF59" s="13">
        <f t="shared" si="21"/>
        <v>19</v>
      </c>
      <c r="CG59" s="62"/>
      <c r="CH59" s="143"/>
      <c r="CI59" s="13">
        <f t="shared" si="31"/>
        <v>19</v>
      </c>
      <c r="CJ59" s="62">
        <v>30</v>
      </c>
      <c r="CK59" s="143">
        <f>2+6+14+1</f>
        <v>23</v>
      </c>
      <c r="CL59" s="13">
        <f t="shared" si="32"/>
        <v>26</v>
      </c>
      <c r="CM59" s="61">
        <v>40</v>
      </c>
      <c r="CN59" s="143">
        <f>4+8+27</f>
        <v>39</v>
      </c>
      <c r="CO59" s="13">
        <f t="shared" si="22"/>
        <v>27</v>
      </c>
      <c r="CP59" s="62"/>
      <c r="CQ59" s="143"/>
      <c r="CR59" s="13">
        <f t="shared" si="33"/>
        <v>27</v>
      </c>
      <c r="CS59" s="62">
        <v>20</v>
      </c>
      <c r="CT59" s="143">
        <f>1+7+2+16</f>
        <v>26</v>
      </c>
      <c r="CU59" s="14">
        <f t="shared" si="23"/>
        <v>21</v>
      </c>
      <c r="CV59" s="5">
        <f t="shared" si="36"/>
        <v>900</v>
      </c>
      <c r="CW59" s="4">
        <f t="shared" si="36"/>
        <v>912</v>
      </c>
      <c r="CX59" s="6">
        <f t="shared" si="25"/>
        <v>21</v>
      </c>
      <c r="CY59" s="162">
        <v>214</v>
      </c>
      <c r="CZ59" s="171">
        <f t="shared" si="26"/>
        <v>4494</v>
      </c>
      <c r="DB59" s="2">
        <f t="shared" si="34"/>
        <v>21</v>
      </c>
      <c r="DC59" s="62"/>
      <c r="DD59" s="143"/>
      <c r="DE59" s="149">
        <f t="shared" si="35"/>
        <v>21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21</v>
      </c>
      <c r="G60" s="62">
        <f>-7-7+48</f>
        <v>34</v>
      </c>
      <c r="H60" s="143">
        <v>21</v>
      </c>
      <c r="I60" s="13">
        <f t="shared" si="0"/>
        <v>34</v>
      </c>
      <c r="J60" s="62"/>
      <c r="K60" s="143">
        <f>4+3+3</f>
        <v>10</v>
      </c>
      <c r="L60" s="13">
        <f t="shared" si="1"/>
        <v>24</v>
      </c>
      <c r="M60" s="62">
        <f>-6+48</f>
        <v>42</v>
      </c>
      <c r="N60" s="143">
        <f>16</f>
        <v>16</v>
      </c>
      <c r="O60" s="13">
        <f t="shared" si="2"/>
        <v>50</v>
      </c>
      <c r="P60" s="62">
        <v>24</v>
      </c>
      <c r="Q60" s="143">
        <f>1+1+1+1+8</f>
        <v>12</v>
      </c>
      <c r="R60" s="30">
        <f t="shared" si="3"/>
        <v>62</v>
      </c>
      <c r="S60" s="62">
        <v>24</v>
      </c>
      <c r="T60" s="143">
        <f>3+26</f>
        <v>29</v>
      </c>
      <c r="U60" s="13">
        <f t="shared" si="4"/>
        <v>57</v>
      </c>
      <c r="V60" s="62"/>
      <c r="W60" s="143"/>
      <c r="X60" s="13">
        <f t="shared" si="5"/>
        <v>57</v>
      </c>
      <c r="Y60" s="62">
        <v>24</v>
      </c>
      <c r="Z60" s="143">
        <f>6+7+3+4+17</f>
        <v>37</v>
      </c>
      <c r="AA60" s="13">
        <f t="shared" si="27"/>
        <v>44</v>
      </c>
      <c r="AB60" s="62">
        <f>-11+24</f>
        <v>13</v>
      </c>
      <c r="AC60" s="143">
        <f>5+6+2+31</f>
        <v>44</v>
      </c>
      <c r="AD60" s="13">
        <f t="shared" si="28"/>
        <v>13</v>
      </c>
      <c r="AE60" s="62">
        <v>24</v>
      </c>
      <c r="AF60" s="143">
        <f>4+3+4</f>
        <v>11</v>
      </c>
      <c r="AG60" s="13">
        <f t="shared" si="29"/>
        <v>26</v>
      </c>
      <c r="AH60" s="62">
        <f>-6-7-3-1-8+24+12</f>
        <v>11</v>
      </c>
      <c r="AI60" s="143">
        <f>2+24</f>
        <v>26</v>
      </c>
      <c r="AJ60" s="13">
        <f t="shared" si="30"/>
        <v>11</v>
      </c>
      <c r="AK60" s="62">
        <f>-12+48</f>
        <v>36</v>
      </c>
      <c r="AL60" s="143">
        <f>2+1+8</f>
        <v>11</v>
      </c>
      <c r="AM60" s="13">
        <f t="shared" si="6"/>
        <v>36</v>
      </c>
      <c r="AN60" s="62">
        <f>-9+24</f>
        <v>15</v>
      </c>
      <c r="AO60" s="143">
        <f>4+3+29</f>
        <v>36</v>
      </c>
      <c r="AP60" s="13">
        <f t="shared" si="7"/>
        <v>15</v>
      </c>
      <c r="AQ60" s="62"/>
      <c r="AR60" s="143"/>
      <c r="AS60" s="13">
        <f t="shared" si="8"/>
        <v>15</v>
      </c>
      <c r="AT60" s="62">
        <f>-7-4-5+24+20</f>
        <v>28</v>
      </c>
      <c r="AU60" s="143">
        <f>2+13</f>
        <v>15</v>
      </c>
      <c r="AV60" s="13">
        <f t="shared" si="9"/>
        <v>28</v>
      </c>
      <c r="AW60" s="62">
        <f>-6-7-6-7+48-5-5</f>
        <v>12</v>
      </c>
      <c r="AX60" s="143">
        <f>2+26</f>
        <v>28</v>
      </c>
      <c r="AY60" s="13">
        <f t="shared" si="10"/>
        <v>12</v>
      </c>
      <c r="AZ60" s="61"/>
      <c r="BA60" s="143"/>
      <c r="BB60" s="13">
        <f t="shared" si="11"/>
        <v>12</v>
      </c>
      <c r="BC60" s="62">
        <f>-2-2-4+24</f>
        <v>16</v>
      </c>
      <c r="BD60" s="143">
        <f>12</f>
        <v>12</v>
      </c>
      <c r="BE60" s="13">
        <f t="shared" si="12"/>
        <v>16</v>
      </c>
      <c r="BF60" s="62">
        <f>-7+48</f>
        <v>41</v>
      </c>
      <c r="BG60" s="143">
        <f>1+1+1+13</f>
        <v>16</v>
      </c>
      <c r="BH60" s="13">
        <f t="shared" si="13"/>
        <v>41</v>
      </c>
      <c r="BI60" s="62">
        <v>24</v>
      </c>
      <c r="BJ60" s="143">
        <f>38</f>
        <v>38</v>
      </c>
      <c r="BK60" s="13">
        <f t="shared" si="14"/>
        <v>27</v>
      </c>
      <c r="BL60" s="62"/>
      <c r="BM60" s="143"/>
      <c r="BN60" s="13">
        <f t="shared" si="15"/>
        <v>27</v>
      </c>
      <c r="BO60" s="62">
        <f>-3+24</f>
        <v>21</v>
      </c>
      <c r="BP60" s="143">
        <v>27</v>
      </c>
      <c r="BQ60" s="13">
        <f t="shared" si="16"/>
        <v>21</v>
      </c>
      <c r="BR60" s="62">
        <f>-7-3-2+48</f>
        <v>36</v>
      </c>
      <c r="BS60" s="143">
        <v>20</v>
      </c>
      <c r="BT60" s="13">
        <f t="shared" si="17"/>
        <v>37</v>
      </c>
      <c r="BU60" s="62"/>
      <c r="BV60" s="143">
        <f>4+4</f>
        <v>8</v>
      </c>
      <c r="BW60" s="13">
        <f t="shared" si="18"/>
        <v>29</v>
      </c>
      <c r="BX60" s="62">
        <f>48</f>
        <v>48</v>
      </c>
      <c r="BY60" s="143">
        <f>18+4+1+6</f>
        <v>29</v>
      </c>
      <c r="BZ60" s="13">
        <f t="shared" si="19"/>
        <v>48</v>
      </c>
      <c r="CA60" s="62">
        <v>24</v>
      </c>
      <c r="CB60" s="143">
        <f>1+15</f>
        <v>16</v>
      </c>
      <c r="CC60" s="13">
        <f t="shared" si="20"/>
        <v>56</v>
      </c>
      <c r="CD60" s="62">
        <v>24</v>
      </c>
      <c r="CE60" s="143">
        <f>28</f>
        <v>28</v>
      </c>
      <c r="CF60" s="13">
        <f t="shared" si="21"/>
        <v>52</v>
      </c>
      <c r="CG60" s="62"/>
      <c r="CH60" s="143"/>
      <c r="CI60" s="13">
        <f t="shared" si="31"/>
        <v>52</v>
      </c>
      <c r="CJ60" s="62">
        <v>24</v>
      </c>
      <c r="CK60" s="143">
        <f>2+23</f>
        <v>25</v>
      </c>
      <c r="CL60" s="13">
        <f t="shared" si="32"/>
        <v>51</v>
      </c>
      <c r="CM60" s="61">
        <v>24</v>
      </c>
      <c r="CN60" s="143">
        <f>2+3+32</f>
        <v>37</v>
      </c>
      <c r="CO60" s="13">
        <f t="shared" si="22"/>
        <v>38</v>
      </c>
      <c r="CP60" s="62"/>
      <c r="CQ60" s="143"/>
      <c r="CR60" s="13">
        <f t="shared" si="33"/>
        <v>38</v>
      </c>
      <c r="CS60" s="64">
        <f>-6+3</f>
        <v>-3</v>
      </c>
      <c r="CT60" s="143">
        <f>6+7+22</f>
        <v>35</v>
      </c>
      <c r="CU60" s="14">
        <f t="shared" si="23"/>
        <v>0</v>
      </c>
      <c r="CV60" s="5">
        <f t="shared" si="36"/>
        <v>566</v>
      </c>
      <c r="CW60" s="4">
        <f t="shared" si="36"/>
        <v>587</v>
      </c>
      <c r="CX60" s="6">
        <f t="shared" si="25"/>
        <v>0</v>
      </c>
      <c r="CY60" s="162">
        <v>28</v>
      </c>
      <c r="CZ60" s="171">
        <f t="shared" si="26"/>
        <v>0</v>
      </c>
      <c r="DB60" s="2">
        <f t="shared" si="34"/>
        <v>0</v>
      </c>
      <c r="DC60" s="62"/>
      <c r="DD60" s="143"/>
      <c r="DE60" s="149">
        <f t="shared" si="35"/>
        <v>0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1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1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1"/>
      <c r="CN62" s="143"/>
      <c r="CO62" s="13">
        <f t="shared" si="22"/>
        <v>0</v>
      </c>
      <c r="CP62" s="61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2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112</v>
      </c>
      <c r="G63" s="62">
        <f>140*3-210</f>
        <v>210</v>
      </c>
      <c r="H63" s="143">
        <f>20+4+85</f>
        <v>109</v>
      </c>
      <c r="I63" s="13">
        <f t="shared" si="0"/>
        <v>213</v>
      </c>
      <c r="J63" s="62"/>
      <c r="K63" s="143"/>
      <c r="L63" s="13">
        <f t="shared" si="1"/>
        <v>213</v>
      </c>
      <c r="M63" s="62">
        <f>-50+420+420</f>
        <v>790</v>
      </c>
      <c r="N63" s="143">
        <f>20+4+185</f>
        <v>209</v>
      </c>
      <c r="O63" s="13">
        <f t="shared" si="2"/>
        <v>794</v>
      </c>
      <c r="P63" s="62"/>
      <c r="Q63" s="143">
        <f>15+3+230</f>
        <v>248</v>
      </c>
      <c r="R63" s="30">
        <f t="shared" si="3"/>
        <v>546</v>
      </c>
      <c r="S63" s="62"/>
      <c r="T63" s="143">
        <f>20+1+240</f>
        <v>261</v>
      </c>
      <c r="U63" s="13">
        <f t="shared" si="4"/>
        <v>285</v>
      </c>
      <c r="V63" s="62"/>
      <c r="W63" s="143"/>
      <c r="X63" s="13">
        <f t="shared" si="5"/>
        <v>285</v>
      </c>
      <c r="Y63" s="62">
        <v>280</v>
      </c>
      <c r="Z63" s="143">
        <f>20+165</f>
        <v>185</v>
      </c>
      <c r="AA63" s="13">
        <f t="shared" si="27"/>
        <v>380</v>
      </c>
      <c r="AB63" s="62">
        <v>140</v>
      </c>
      <c r="AC63" s="143">
        <f>15+10+170+50</f>
        <v>245</v>
      </c>
      <c r="AD63" s="13">
        <f t="shared" si="28"/>
        <v>275</v>
      </c>
      <c r="AE63" s="62"/>
      <c r="AF63" s="143"/>
      <c r="AG63" s="13">
        <f t="shared" si="29"/>
        <v>275</v>
      </c>
      <c r="AH63" s="62">
        <v>280</v>
      </c>
      <c r="AI63" s="143">
        <f>15+5+70</f>
        <v>90</v>
      </c>
      <c r="AJ63" s="13">
        <f t="shared" si="30"/>
        <v>465</v>
      </c>
      <c r="AK63" s="62">
        <v>140</v>
      </c>
      <c r="AL63" s="143">
        <f>10+2+200</f>
        <v>212</v>
      </c>
      <c r="AM63" s="13">
        <f t="shared" si="6"/>
        <v>393</v>
      </c>
      <c r="AN63" s="62">
        <v>280</v>
      </c>
      <c r="AO63" s="143">
        <f>20+20+6+120</f>
        <v>166</v>
      </c>
      <c r="AP63" s="13">
        <f t="shared" si="7"/>
        <v>507</v>
      </c>
      <c r="AQ63" s="62"/>
      <c r="AR63" s="143"/>
      <c r="AS63" s="13">
        <f t="shared" si="8"/>
        <v>507</v>
      </c>
      <c r="AT63" s="64"/>
      <c r="AU63" s="143">
        <f>20+1+195+17</f>
        <v>233</v>
      </c>
      <c r="AV63" s="13">
        <f t="shared" si="9"/>
        <v>274</v>
      </c>
      <c r="AW63" s="62">
        <v>280</v>
      </c>
      <c r="AX63" s="143">
        <f>2+185</f>
        <v>187</v>
      </c>
      <c r="AY63" s="13">
        <f t="shared" si="10"/>
        <v>367</v>
      </c>
      <c r="AZ63" s="183"/>
      <c r="BA63" s="143"/>
      <c r="BB63" s="13">
        <f t="shared" si="11"/>
        <v>367</v>
      </c>
      <c r="BC63" s="62">
        <v>420</v>
      </c>
      <c r="BD63" s="143">
        <f>20+3+130</f>
        <v>153</v>
      </c>
      <c r="BE63" s="13">
        <f t="shared" si="12"/>
        <v>634</v>
      </c>
      <c r="BF63" s="62"/>
      <c r="BG63" s="143">
        <v>325</v>
      </c>
      <c r="BH63" s="13">
        <f t="shared" si="13"/>
        <v>309</v>
      </c>
      <c r="BI63" s="62">
        <v>420</v>
      </c>
      <c r="BJ63" s="143">
        <f>25+9+275</f>
        <v>309</v>
      </c>
      <c r="BK63" s="13">
        <f t="shared" si="14"/>
        <v>420</v>
      </c>
      <c r="BL63" s="62"/>
      <c r="BM63" s="143"/>
      <c r="BN63" s="13">
        <f t="shared" si="15"/>
        <v>420</v>
      </c>
      <c r="BO63" s="62"/>
      <c r="BP63" s="143">
        <f>140</f>
        <v>140</v>
      </c>
      <c r="BQ63" s="13">
        <f t="shared" si="16"/>
        <v>280</v>
      </c>
      <c r="BR63" s="62">
        <v>280</v>
      </c>
      <c r="BS63" s="143">
        <f>15+6+220</f>
        <v>241</v>
      </c>
      <c r="BT63" s="13">
        <f t="shared" si="17"/>
        <v>319</v>
      </c>
      <c r="BU63" s="62"/>
      <c r="BV63" s="143"/>
      <c r="BW63" s="13">
        <f t="shared" si="18"/>
        <v>319</v>
      </c>
      <c r="BX63" s="62">
        <v>280</v>
      </c>
      <c r="BY63" s="143">
        <f>15+2+125</f>
        <v>142</v>
      </c>
      <c r="BZ63" s="13">
        <f t="shared" si="19"/>
        <v>457</v>
      </c>
      <c r="CA63" s="62"/>
      <c r="CB63" s="143">
        <f>8+65</f>
        <v>73</v>
      </c>
      <c r="CC63" s="13">
        <f t="shared" si="20"/>
        <v>384</v>
      </c>
      <c r="CD63" s="62">
        <f>-100+280</f>
        <v>180</v>
      </c>
      <c r="CE63" s="143">
        <f>15+345+15</f>
        <v>375</v>
      </c>
      <c r="CF63" s="13">
        <f t="shared" si="21"/>
        <v>189</v>
      </c>
      <c r="CG63" s="62"/>
      <c r="CH63" s="143"/>
      <c r="CI63" s="13">
        <f t="shared" si="31"/>
        <v>189</v>
      </c>
      <c r="CJ63" s="62">
        <f>-40+280</f>
        <v>240</v>
      </c>
      <c r="CK63" s="143">
        <f>15+4+170</f>
        <v>189</v>
      </c>
      <c r="CL63" s="13">
        <f t="shared" si="32"/>
        <v>240</v>
      </c>
      <c r="CM63" s="61">
        <v>140</v>
      </c>
      <c r="CN63" s="143">
        <f>15+4+170</f>
        <v>189</v>
      </c>
      <c r="CO63" s="13">
        <f t="shared" si="22"/>
        <v>191</v>
      </c>
      <c r="CP63" s="61"/>
      <c r="CQ63" s="143"/>
      <c r="CR63" s="13">
        <f t="shared" si="33"/>
        <v>191</v>
      </c>
      <c r="CS63" s="62">
        <f>-120+140</f>
        <v>20</v>
      </c>
      <c r="CT63" s="143">
        <f>15+170-1</f>
        <v>184</v>
      </c>
      <c r="CU63" s="14">
        <f t="shared" si="23"/>
        <v>27</v>
      </c>
      <c r="CV63" s="5">
        <f t="shared" si="36"/>
        <v>4380</v>
      </c>
      <c r="CW63" s="4">
        <f t="shared" si="36"/>
        <v>4465</v>
      </c>
      <c r="CX63" s="6">
        <f t="shared" si="25"/>
        <v>27</v>
      </c>
      <c r="CY63" s="162">
        <v>57</v>
      </c>
      <c r="CZ63" s="171">
        <f t="shared" si="26"/>
        <v>1539</v>
      </c>
      <c r="DB63" s="2">
        <f t="shared" si="34"/>
        <v>27</v>
      </c>
      <c r="DC63" s="62"/>
      <c r="DD63" s="143"/>
      <c r="DE63" s="149">
        <f t="shared" si="35"/>
        <v>27</v>
      </c>
    </row>
    <row r="64" spans="1:109" ht="15.75" customHeight="1">
      <c r="A64" s="33"/>
      <c r="B64" s="3"/>
      <c r="C64" s="104"/>
      <c r="D64" s="34"/>
      <c r="E64" s="34"/>
      <c r="F64" s="14">
        <v>0</v>
      </c>
      <c r="G64" s="62"/>
      <c r="H64" s="143"/>
      <c r="I64" s="13">
        <f t="shared" si="0"/>
        <v>0</v>
      </c>
      <c r="J64" s="62"/>
      <c r="K64" s="143"/>
      <c r="L64" s="13">
        <f t="shared" si="1"/>
        <v>0</v>
      </c>
      <c r="M64" s="62"/>
      <c r="N64" s="143"/>
      <c r="O64" s="13">
        <f t="shared" si="2"/>
        <v>0</v>
      </c>
      <c r="P64" s="62"/>
      <c r="Q64" s="143"/>
      <c r="R64" s="30">
        <f t="shared" si="3"/>
        <v>0</v>
      </c>
      <c r="S64" s="62"/>
      <c r="T64" s="143"/>
      <c r="U64" s="13">
        <f t="shared" si="4"/>
        <v>0</v>
      </c>
      <c r="V64" s="62"/>
      <c r="W64" s="143"/>
      <c r="X64" s="13">
        <f t="shared" si="5"/>
        <v>0</v>
      </c>
      <c r="Y64" s="62"/>
      <c r="Z64" s="143"/>
      <c r="AA64" s="13">
        <f t="shared" si="27"/>
        <v>0</v>
      </c>
      <c r="AB64" s="62"/>
      <c r="AC64" s="143"/>
      <c r="AD64" s="13">
        <f t="shared" si="28"/>
        <v>0</v>
      </c>
      <c r="AE64" s="62"/>
      <c r="AF64" s="143"/>
      <c r="AG64" s="13">
        <f t="shared" si="29"/>
        <v>0</v>
      </c>
      <c r="AH64" s="62"/>
      <c r="AI64" s="143"/>
      <c r="AJ64" s="13">
        <f t="shared" si="30"/>
        <v>0</v>
      </c>
      <c r="AK64" s="62"/>
      <c r="AL64" s="143"/>
      <c r="AM64" s="13">
        <f t="shared" si="6"/>
        <v>0</v>
      </c>
      <c r="AN64" s="62"/>
      <c r="AO64" s="143"/>
      <c r="AP64" s="13">
        <f t="shared" si="7"/>
        <v>0</v>
      </c>
      <c r="AQ64" s="62"/>
      <c r="AR64" s="143"/>
      <c r="AS64" s="13">
        <f t="shared" si="8"/>
        <v>0</v>
      </c>
      <c r="AT64" s="62"/>
      <c r="AU64" s="143"/>
      <c r="AV64" s="13">
        <f t="shared" si="9"/>
        <v>0</v>
      </c>
      <c r="AW64" s="62"/>
      <c r="AX64" s="143"/>
      <c r="AY64" s="13">
        <f t="shared" si="10"/>
        <v>0</v>
      </c>
      <c r="AZ64" s="61"/>
      <c r="BA64" s="190"/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1"/>
      <c r="CN64" s="143"/>
      <c r="CO64" s="13">
        <f t="shared" si="22"/>
        <v>0</v>
      </c>
      <c r="CP64" s="61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0</v>
      </c>
      <c r="CX64" s="6">
        <f t="shared" si="25"/>
        <v>0</v>
      </c>
      <c r="CY64" s="162">
        <v>0</v>
      </c>
      <c r="CZ64" s="171">
        <f t="shared" si="26"/>
        <v>0</v>
      </c>
      <c r="DB64" s="2">
        <f t="shared" si="34"/>
        <v>0</v>
      </c>
      <c r="DC64" s="62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1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1"/>
      <c r="CN65" s="143"/>
      <c r="CO65" s="13">
        <f t="shared" si="22"/>
        <v>0</v>
      </c>
      <c r="CP65" s="61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2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1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1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>
        <f>-1+2</f>
        <v>1</v>
      </c>
      <c r="AX68" s="143"/>
      <c r="AY68" s="13">
        <f t="shared" si="10"/>
        <v>1</v>
      </c>
      <c r="AZ68" s="61"/>
      <c r="BA68" s="143"/>
      <c r="BB68" s="13">
        <f t="shared" si="11"/>
        <v>1</v>
      </c>
      <c r="BC68" s="62"/>
      <c r="BD68" s="143"/>
      <c r="BE68" s="13">
        <f t="shared" si="12"/>
        <v>1</v>
      </c>
      <c r="BF68" s="62"/>
      <c r="BG68" s="143"/>
      <c r="BH68" s="13">
        <f t="shared" si="13"/>
        <v>1</v>
      </c>
      <c r="BI68" s="62"/>
      <c r="BJ68" s="143"/>
      <c r="BK68" s="13">
        <f t="shared" si="14"/>
        <v>1</v>
      </c>
      <c r="BL68" s="62"/>
      <c r="BM68" s="143"/>
      <c r="BN68" s="13">
        <f t="shared" si="15"/>
        <v>1</v>
      </c>
      <c r="BO68" s="62"/>
      <c r="BP68" s="143"/>
      <c r="BQ68" s="13">
        <f t="shared" si="16"/>
        <v>1</v>
      </c>
      <c r="BR68" s="62"/>
      <c r="BS68" s="143"/>
      <c r="BT68" s="13">
        <f t="shared" si="17"/>
        <v>1</v>
      </c>
      <c r="BU68" s="62"/>
      <c r="BV68" s="143"/>
      <c r="BW68" s="13">
        <f t="shared" si="18"/>
        <v>1</v>
      </c>
      <c r="BX68" s="62"/>
      <c r="BY68" s="143"/>
      <c r="BZ68" s="13">
        <f t="shared" si="19"/>
        <v>1</v>
      </c>
      <c r="CA68" s="62"/>
      <c r="CB68" s="143"/>
      <c r="CC68" s="13">
        <f t="shared" si="20"/>
        <v>1</v>
      </c>
      <c r="CD68" s="62"/>
      <c r="CE68" s="143"/>
      <c r="CF68" s="13">
        <f t="shared" si="21"/>
        <v>1</v>
      </c>
      <c r="CG68" s="62"/>
      <c r="CH68" s="143"/>
      <c r="CI68" s="13">
        <f t="shared" si="31"/>
        <v>1</v>
      </c>
      <c r="CJ68" s="62">
        <v>2</v>
      </c>
      <c r="CK68" s="143"/>
      <c r="CL68" s="13">
        <f t="shared" si="32"/>
        <v>3</v>
      </c>
      <c r="CM68" s="62">
        <v>2</v>
      </c>
      <c r="CN68" s="143">
        <f>1+2</f>
        <v>3</v>
      </c>
      <c r="CO68" s="13">
        <f t="shared" si="22"/>
        <v>2</v>
      </c>
      <c r="CP68" s="62"/>
      <c r="CQ68" s="143">
        <f>1+1</f>
        <v>2</v>
      </c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5</v>
      </c>
      <c r="CW68" s="4">
        <f t="shared" si="36"/>
        <v>5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>
        <v>3</v>
      </c>
      <c r="AC69" s="143">
        <v>1</v>
      </c>
      <c r="AD69" s="13">
        <f>AA69+AB69-AC69</f>
        <v>2</v>
      </c>
      <c r="AE69" s="62"/>
      <c r="AF69" s="143"/>
      <c r="AG69" s="13">
        <f>AD69+AE69-AF69</f>
        <v>2</v>
      </c>
      <c r="AH69" s="62"/>
      <c r="AI69" s="143"/>
      <c r="AJ69" s="13">
        <f>AG69+AH69-AI69</f>
        <v>2</v>
      </c>
      <c r="AK69" s="62"/>
      <c r="AL69" s="143">
        <v>1</v>
      </c>
      <c r="AM69" s="13">
        <f>AJ69+AK69-AL69</f>
        <v>1</v>
      </c>
      <c r="AN69" s="62"/>
      <c r="AO69" s="143"/>
      <c r="AP69" s="13">
        <f>AM69+AN69-AO69</f>
        <v>1</v>
      </c>
      <c r="AQ69" s="62"/>
      <c r="AR69" s="143"/>
      <c r="AS69" s="13">
        <f>AP69+AQ69-AR69</f>
        <v>1</v>
      </c>
      <c r="AT69" s="62"/>
      <c r="AU69" s="143"/>
      <c r="AV69" s="13">
        <f>AS69+AT69-AU69</f>
        <v>1</v>
      </c>
      <c r="AW69" s="62"/>
      <c r="AX69" s="143"/>
      <c r="AY69" s="13">
        <f>AV69+AW69-AX69</f>
        <v>1</v>
      </c>
      <c r="AZ69" s="61"/>
      <c r="BA69" s="143"/>
      <c r="BB69" s="13">
        <f>AY69+AZ69-BA69</f>
        <v>1</v>
      </c>
      <c r="BC69" s="62"/>
      <c r="BD69" s="143"/>
      <c r="BE69" s="13">
        <f>BB69+BC69-BD69</f>
        <v>1</v>
      </c>
      <c r="BF69" s="62"/>
      <c r="BG69" s="143"/>
      <c r="BH69" s="13">
        <f>BE69+BF69-BG69</f>
        <v>1</v>
      </c>
      <c r="BI69" s="62"/>
      <c r="BJ69" s="143"/>
      <c r="BK69" s="13">
        <f>BH69+BI69-BJ69</f>
        <v>1</v>
      </c>
      <c r="BL69" s="62"/>
      <c r="BM69" s="143"/>
      <c r="BN69" s="13">
        <f>BK69+BL69-BM69</f>
        <v>1</v>
      </c>
      <c r="BO69" s="62"/>
      <c r="BP69" s="143"/>
      <c r="BQ69" s="13">
        <f>BN69+BO69-BP69</f>
        <v>1</v>
      </c>
      <c r="BR69" s="62"/>
      <c r="BS69" s="143"/>
      <c r="BT69" s="13">
        <f t="shared" ref="BT69:BT93" si="37">BQ69+BR69-BS69</f>
        <v>1</v>
      </c>
      <c r="BU69" s="62"/>
      <c r="BV69" s="143"/>
      <c r="BW69" s="13">
        <f>BT69+BU69-BV69</f>
        <v>1</v>
      </c>
      <c r="BX69" s="62"/>
      <c r="BY69" s="143"/>
      <c r="BZ69" s="13">
        <f t="shared" ref="BZ69:BZ85" si="38">BW69+BX69-BY69</f>
        <v>1</v>
      </c>
      <c r="CA69" s="62"/>
      <c r="CB69" s="143"/>
      <c r="CC69" s="13">
        <f t="shared" ref="CC69:CC85" si="39">BZ69+CA69-CB69</f>
        <v>1</v>
      </c>
      <c r="CD69" s="62"/>
      <c r="CE69" s="143"/>
      <c r="CF69" s="13">
        <f t="shared" ref="CF69:CF85" si="40">CC69+CD69-CE69</f>
        <v>1</v>
      </c>
      <c r="CG69" s="62"/>
      <c r="CH69" s="143"/>
      <c r="CI69" s="13">
        <f t="shared" si="31"/>
        <v>1</v>
      </c>
      <c r="CJ69" s="62">
        <v>1</v>
      </c>
      <c r="CK69" s="143"/>
      <c r="CL69" s="13">
        <f t="shared" si="32"/>
        <v>2</v>
      </c>
      <c r="CM69" s="62">
        <v>3</v>
      </c>
      <c r="CN69" s="143">
        <v>1</v>
      </c>
      <c r="CO69" s="13">
        <f t="shared" ref="CO69:CO85" si="41">CL69+CM69-CN69</f>
        <v>4</v>
      </c>
      <c r="CP69" s="62"/>
      <c r="CQ69" s="143">
        <v>3</v>
      </c>
      <c r="CR69" s="13">
        <f t="shared" si="33"/>
        <v>1</v>
      </c>
      <c r="CS69" s="62"/>
      <c r="CT69" s="143"/>
      <c r="CU69" s="14">
        <f t="shared" ref="CU69:CU93" si="42">CR69+CS69-CT69</f>
        <v>1</v>
      </c>
      <c r="CV69" s="5">
        <f t="shared" ref="CV69:CW93" si="43">G69+J69+M69+P69+S69+V69+Y69+AB69+AE69+AH69+AK69+AN69+AQ69+AT69+AW69+AZ69+BC69+BF69+BI69+BL69+BO69+BR69+BU69+BX69+CA69+CD69+CG69+CJ69+CM69+CP69+CS69</f>
        <v>7</v>
      </c>
      <c r="CW69" s="4">
        <f t="shared" si="43"/>
        <v>6</v>
      </c>
      <c r="CX69" s="6">
        <f t="shared" ref="CX69:CX77" si="44">CU69</f>
        <v>1</v>
      </c>
      <c r="CY69" s="162">
        <v>1000</v>
      </c>
      <c r="CZ69" s="171">
        <f t="shared" ref="CZ69:CZ93" si="45">CX69*CY69</f>
        <v>1000</v>
      </c>
      <c r="DB69" s="2">
        <f t="shared" si="34"/>
        <v>1</v>
      </c>
      <c r="DC69" s="62"/>
      <c r="DD69" s="143"/>
      <c r="DE69" s="149">
        <f t="shared" si="35"/>
        <v>1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22</v>
      </c>
      <c r="G70" s="62"/>
      <c r="H70" s="143"/>
      <c r="I70" s="13">
        <f>F70+G70-H70</f>
        <v>22</v>
      </c>
      <c r="J70" s="62"/>
      <c r="K70" s="143"/>
      <c r="L70" s="13">
        <f>I70+J70-K70</f>
        <v>22</v>
      </c>
      <c r="M70" s="62"/>
      <c r="N70" s="143"/>
      <c r="O70" s="13">
        <f>L70+M70-N70</f>
        <v>22</v>
      </c>
      <c r="P70" s="62"/>
      <c r="Q70" s="143"/>
      <c r="R70" s="30">
        <f>O70+P70-Q70</f>
        <v>22</v>
      </c>
      <c r="S70" s="62"/>
      <c r="T70" s="143"/>
      <c r="U70" s="13">
        <f>R70+S70-T70</f>
        <v>22</v>
      </c>
      <c r="V70" s="62"/>
      <c r="W70" s="143"/>
      <c r="X70" s="13">
        <f>U70+V70-W70</f>
        <v>22</v>
      </c>
      <c r="Y70" s="62"/>
      <c r="Z70" s="143"/>
      <c r="AA70" s="13">
        <f>X70+Y70-Z70</f>
        <v>22</v>
      </c>
      <c r="AB70" s="62"/>
      <c r="AC70" s="143"/>
      <c r="AD70" s="13">
        <f>AA70+AB70-AC70</f>
        <v>22</v>
      </c>
      <c r="AE70" s="62"/>
      <c r="AF70" s="143"/>
      <c r="AG70" s="13">
        <f>AD70+AE70-AF70</f>
        <v>22</v>
      </c>
      <c r="AH70" s="62"/>
      <c r="AI70" s="143"/>
      <c r="AJ70" s="13">
        <f>AG70+AH70-AI70</f>
        <v>22</v>
      </c>
      <c r="AK70" s="62"/>
      <c r="AL70" s="143"/>
      <c r="AM70" s="13">
        <f>AJ70+AK70-AL70</f>
        <v>22</v>
      </c>
      <c r="AN70" s="62"/>
      <c r="AO70" s="143"/>
      <c r="AP70" s="13">
        <f>AM70+AN70-AO70</f>
        <v>22</v>
      </c>
      <c r="AQ70" s="62"/>
      <c r="AR70" s="143"/>
      <c r="AS70" s="13">
        <f>AP70+AQ70-AR70</f>
        <v>22</v>
      </c>
      <c r="AT70" s="62"/>
      <c r="AU70" s="143"/>
      <c r="AV70" s="13">
        <f>AS70+AT70-AU70</f>
        <v>22</v>
      </c>
      <c r="AW70" s="62"/>
      <c r="AX70" s="143"/>
      <c r="AY70" s="13">
        <f>AV70+AW70-AX70</f>
        <v>22</v>
      </c>
      <c r="AZ70" s="61"/>
      <c r="BA70" s="143"/>
      <c r="BB70" s="13">
        <f>AY70+AZ70-BA70</f>
        <v>22</v>
      </c>
      <c r="BC70" s="62"/>
      <c r="BD70" s="143"/>
      <c r="BE70" s="13">
        <f>BB70+BC70-BD70</f>
        <v>22</v>
      </c>
      <c r="BF70" s="62"/>
      <c r="BG70" s="143"/>
      <c r="BH70" s="13">
        <f>BE70+BF70-BG70</f>
        <v>22</v>
      </c>
      <c r="BI70" s="62"/>
      <c r="BJ70" s="143"/>
      <c r="BK70" s="13">
        <f>BH70+BI70-BJ70</f>
        <v>22</v>
      </c>
      <c r="BL70" s="62"/>
      <c r="BM70" s="143"/>
      <c r="BN70" s="13">
        <f>BK70+BL70-BM70</f>
        <v>22</v>
      </c>
      <c r="BO70" s="62"/>
      <c r="BP70" s="143"/>
      <c r="BQ70" s="13">
        <f>BN70+BO70-BP70</f>
        <v>22</v>
      </c>
      <c r="BR70" s="62"/>
      <c r="BS70" s="143"/>
      <c r="BT70" s="13">
        <f t="shared" si="37"/>
        <v>22</v>
      </c>
      <c r="BU70" s="62"/>
      <c r="BV70" s="143"/>
      <c r="BW70" s="13">
        <f>BT70+BU70-BV70</f>
        <v>22</v>
      </c>
      <c r="BX70" s="62"/>
      <c r="BY70" s="143"/>
      <c r="BZ70" s="13">
        <f t="shared" si="38"/>
        <v>22</v>
      </c>
      <c r="CA70" s="62"/>
      <c r="CB70" s="143"/>
      <c r="CC70" s="13">
        <f t="shared" si="39"/>
        <v>22</v>
      </c>
      <c r="CD70" s="62"/>
      <c r="CE70" s="143"/>
      <c r="CF70" s="13">
        <f t="shared" si="40"/>
        <v>22</v>
      </c>
      <c r="CG70" s="62"/>
      <c r="CH70" s="143"/>
      <c r="CI70" s="13">
        <f t="shared" ref="CI70:CI85" si="46">CF70+CG70-CH70</f>
        <v>22</v>
      </c>
      <c r="CJ70" s="62"/>
      <c r="CK70" s="143"/>
      <c r="CL70" s="13">
        <f t="shared" ref="CL70:CL85" si="47">CI70+CJ70-CK70</f>
        <v>22</v>
      </c>
      <c r="CM70" s="62"/>
      <c r="CN70" s="143">
        <v>2</v>
      </c>
      <c r="CO70" s="13">
        <f t="shared" si="41"/>
        <v>20</v>
      </c>
      <c r="CP70" s="62"/>
      <c r="CQ70" s="143"/>
      <c r="CR70" s="13">
        <f t="shared" ref="CR70:CR85" si="48">CO70+CP70-CQ70</f>
        <v>20</v>
      </c>
      <c r="CS70" s="62"/>
      <c r="CT70" s="143"/>
      <c r="CU70" s="14">
        <f t="shared" si="42"/>
        <v>20</v>
      </c>
      <c r="CV70" s="5">
        <f t="shared" si="43"/>
        <v>0</v>
      </c>
      <c r="CW70" s="4">
        <f t="shared" si="43"/>
        <v>2</v>
      </c>
      <c r="CX70" s="6">
        <f t="shared" si="44"/>
        <v>20</v>
      </c>
      <c r="CY70" s="162">
        <v>152</v>
      </c>
      <c r="CZ70" s="171">
        <f t="shared" si="45"/>
        <v>3040</v>
      </c>
      <c r="DB70" s="2">
        <f t="shared" ref="DB70:DB93" si="49">CU70</f>
        <v>20</v>
      </c>
      <c r="DC70" s="62"/>
      <c r="DD70" s="143"/>
      <c r="DE70" s="149">
        <f t="shared" si="35"/>
        <v>20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29</v>
      </c>
      <c r="G71" s="62"/>
      <c r="H71" s="143">
        <v>3</v>
      </c>
      <c r="I71" s="13">
        <f>F71+G71-H71</f>
        <v>26</v>
      </c>
      <c r="J71" s="62"/>
      <c r="K71" s="143"/>
      <c r="L71" s="13">
        <f>I71+J71-K71</f>
        <v>26</v>
      </c>
      <c r="M71" s="62"/>
      <c r="N71" s="143"/>
      <c r="O71" s="13">
        <f>L71+M71-N71</f>
        <v>26</v>
      </c>
      <c r="P71" s="62"/>
      <c r="Q71" s="143"/>
      <c r="R71" s="13">
        <f>O71+P71-Q71</f>
        <v>26</v>
      </c>
      <c r="S71" s="62"/>
      <c r="T71" s="143"/>
      <c r="U71" s="13">
        <f>R71+S71-T71</f>
        <v>26</v>
      </c>
      <c r="V71" s="62"/>
      <c r="W71" s="143"/>
      <c r="X71" s="13">
        <f>U71+V71-W71</f>
        <v>26</v>
      </c>
      <c r="Y71" s="62"/>
      <c r="Z71" s="143"/>
      <c r="AA71" s="13">
        <f>X71+Y71-Z71</f>
        <v>26</v>
      </c>
      <c r="AB71" s="62"/>
      <c r="AC71" s="143">
        <v>1</v>
      </c>
      <c r="AD71" s="13">
        <f>AA71+AB71-AC71</f>
        <v>25</v>
      </c>
      <c r="AE71" s="62"/>
      <c r="AF71" s="143"/>
      <c r="AG71" s="13">
        <f>AD71+AE71-AF71</f>
        <v>25</v>
      </c>
      <c r="AH71" s="62"/>
      <c r="AI71" s="143"/>
      <c r="AJ71" s="13">
        <f>AG71+AH71-AI71</f>
        <v>25</v>
      </c>
      <c r="AK71" s="62"/>
      <c r="AL71" s="143"/>
      <c r="AM71" s="13">
        <f>AJ71+AK71-AL71</f>
        <v>25</v>
      </c>
      <c r="AN71" s="62"/>
      <c r="AO71" s="143"/>
      <c r="AP71" s="13">
        <f>AM71+AN71-AO71</f>
        <v>25</v>
      </c>
      <c r="AQ71" s="62"/>
      <c r="AR71" s="143"/>
      <c r="AS71" s="13">
        <f>AP71+AQ71-AR71</f>
        <v>25</v>
      </c>
      <c r="AT71" s="62"/>
      <c r="AU71" s="143"/>
      <c r="AV71" s="13">
        <f>AS71+AT71-AU71</f>
        <v>25</v>
      </c>
      <c r="AW71" s="62"/>
      <c r="AX71" s="143">
        <v>3</v>
      </c>
      <c r="AY71" s="13">
        <f>AV71+AW71-AX71</f>
        <v>22</v>
      </c>
      <c r="AZ71" s="61"/>
      <c r="BA71" s="143"/>
      <c r="BB71" s="13">
        <f>AY71+AZ71-BA71</f>
        <v>22</v>
      </c>
      <c r="BC71" s="62"/>
      <c r="BD71" s="143"/>
      <c r="BE71" s="13">
        <f>BB71+BC71-BD71</f>
        <v>22</v>
      </c>
      <c r="BF71" s="62"/>
      <c r="BG71" s="143">
        <f>3</f>
        <v>3</v>
      </c>
      <c r="BH71" s="13">
        <f>BE71+BF71-BG71</f>
        <v>19</v>
      </c>
      <c r="BI71" s="62"/>
      <c r="BJ71" s="143"/>
      <c r="BK71" s="13">
        <f>BH71+BI71-BJ71</f>
        <v>19</v>
      </c>
      <c r="BL71" s="62"/>
      <c r="BM71" s="143"/>
      <c r="BN71" s="13">
        <f>BK71+BL71-BM71</f>
        <v>19</v>
      </c>
      <c r="BO71" s="62"/>
      <c r="BP71" s="143"/>
      <c r="BQ71" s="13">
        <f>BN71+BO71-BP71</f>
        <v>19</v>
      </c>
      <c r="BR71" s="62"/>
      <c r="BS71" s="143"/>
      <c r="BT71" s="13">
        <f t="shared" si="37"/>
        <v>19</v>
      </c>
      <c r="BU71" s="62"/>
      <c r="BV71" s="143"/>
      <c r="BW71" s="13">
        <f>BT71+BU71-BV71</f>
        <v>19</v>
      </c>
      <c r="BX71" s="62"/>
      <c r="BY71" s="143"/>
      <c r="BZ71" s="13">
        <f t="shared" si="38"/>
        <v>19</v>
      </c>
      <c r="CA71" s="62"/>
      <c r="CB71" s="143"/>
      <c r="CC71" s="13">
        <f t="shared" si="39"/>
        <v>19</v>
      </c>
      <c r="CD71" s="62"/>
      <c r="CE71" s="143"/>
      <c r="CF71" s="13">
        <f t="shared" si="40"/>
        <v>19</v>
      </c>
      <c r="CG71" s="62"/>
      <c r="CH71" s="143"/>
      <c r="CI71" s="13">
        <f t="shared" si="46"/>
        <v>19</v>
      </c>
      <c r="CJ71" s="62"/>
      <c r="CK71" s="143"/>
      <c r="CL71" s="13">
        <f t="shared" si="47"/>
        <v>19</v>
      </c>
      <c r="CM71" s="62"/>
      <c r="CN71" s="143">
        <v>3</v>
      </c>
      <c r="CO71" s="13">
        <f t="shared" si="41"/>
        <v>16</v>
      </c>
      <c r="CP71" s="62"/>
      <c r="CQ71" s="143"/>
      <c r="CR71" s="13">
        <f t="shared" si="48"/>
        <v>16</v>
      </c>
      <c r="CS71" s="62"/>
      <c r="CT71" s="143"/>
      <c r="CU71" s="14">
        <f t="shared" si="42"/>
        <v>16</v>
      </c>
      <c r="CV71" s="5">
        <f t="shared" si="43"/>
        <v>0</v>
      </c>
      <c r="CW71" s="4">
        <f t="shared" si="43"/>
        <v>13</v>
      </c>
      <c r="CX71" s="6">
        <f t="shared" si="44"/>
        <v>16</v>
      </c>
      <c r="CY71" s="162">
        <v>194</v>
      </c>
      <c r="CZ71" s="171">
        <f t="shared" si="45"/>
        <v>3104</v>
      </c>
      <c r="DB71" s="2">
        <f t="shared" si="49"/>
        <v>16</v>
      </c>
      <c r="DC71" s="62"/>
      <c r="DD71" s="143"/>
      <c r="DE71" s="149">
        <f t="shared" ref="DE71:DE93" si="50">DC71+DB71-DD71</f>
        <v>16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4">
        <v>0</v>
      </c>
      <c r="G72" s="61"/>
      <c r="H72" s="199"/>
      <c r="I72" s="13">
        <f>F72+G72-H72</f>
        <v>0</v>
      </c>
      <c r="J72" s="61"/>
      <c r="K72" s="199"/>
      <c r="L72" s="13">
        <f>I72+J72-K72</f>
        <v>0</v>
      </c>
      <c r="M72" s="61"/>
      <c r="N72" s="199"/>
      <c r="O72" s="13">
        <f>L72+M72-N72</f>
        <v>0</v>
      </c>
      <c r="P72" s="61"/>
      <c r="Q72" s="199"/>
      <c r="R72" s="30">
        <f>O72+P72-Q72</f>
        <v>0</v>
      </c>
      <c r="S72" s="61"/>
      <c r="T72" s="199"/>
      <c r="U72" s="13">
        <f>R72+S72-T72</f>
        <v>0</v>
      </c>
      <c r="V72" s="61"/>
      <c r="W72" s="199"/>
      <c r="X72" s="13">
        <f>U72+V72-W72</f>
        <v>0</v>
      </c>
      <c r="Y72" s="61"/>
      <c r="Z72" s="199"/>
      <c r="AA72" s="13">
        <f>X72+Y72-Z72</f>
        <v>0</v>
      </c>
      <c r="AB72" s="61"/>
      <c r="AC72" s="199"/>
      <c r="AD72" s="13">
        <f>AA72+AB72-AC72</f>
        <v>0</v>
      </c>
      <c r="AE72" s="61"/>
      <c r="AF72" s="199"/>
      <c r="AG72" s="13">
        <f>AD72+AE72-AF72</f>
        <v>0</v>
      </c>
      <c r="AH72" s="61"/>
      <c r="AI72" s="199"/>
      <c r="AJ72" s="13">
        <f>AG72+AH72-AI72</f>
        <v>0</v>
      </c>
      <c r="AK72" s="61"/>
      <c r="AL72" s="199"/>
      <c r="AM72" s="13">
        <f>AJ72+AK72-AL72</f>
        <v>0</v>
      </c>
      <c r="AN72" s="61"/>
      <c r="AO72" s="199"/>
      <c r="AP72" s="13">
        <f>AM72+AN72-AO72</f>
        <v>0</v>
      </c>
      <c r="AQ72" s="61"/>
      <c r="AR72" s="199"/>
      <c r="AS72" s="13">
        <f>AP72+AQ72-AR72</f>
        <v>0</v>
      </c>
      <c r="AT72" s="61"/>
      <c r="AU72" s="199"/>
      <c r="AV72" s="13">
        <f>AS72+AT72-AU72</f>
        <v>0</v>
      </c>
      <c r="AW72" s="61"/>
      <c r="AX72" s="199"/>
      <c r="AY72" s="13">
        <f>AV72+AW72-AX72</f>
        <v>0</v>
      </c>
      <c r="AZ72" s="61"/>
      <c r="BA72" s="199"/>
      <c r="BB72" s="13">
        <f>AY72+AZ72-BA72</f>
        <v>0</v>
      </c>
      <c r="BC72" s="61"/>
      <c r="BD72" s="199"/>
      <c r="BE72" s="13">
        <f>BB72+BC72-BD72</f>
        <v>0</v>
      </c>
      <c r="BF72" s="61"/>
      <c r="BG72" s="199"/>
      <c r="BH72" s="13">
        <f>BE72+BF72-BG72</f>
        <v>0</v>
      </c>
      <c r="BI72" s="62"/>
      <c r="BJ72" s="199"/>
      <c r="BK72" s="13">
        <f>BH72+BI72-BJ72</f>
        <v>0</v>
      </c>
      <c r="BL72" s="61"/>
      <c r="BM72" s="199"/>
      <c r="BN72" s="13">
        <f>BK72+BL72-BM72</f>
        <v>0</v>
      </c>
      <c r="BO72" s="62"/>
      <c r="BP72" s="199"/>
      <c r="BQ72" s="13">
        <f>BN72+BO72-BP72</f>
        <v>0</v>
      </c>
      <c r="BR72" s="62"/>
      <c r="BS72" s="199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1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1"/>
      <c r="DD72" s="199"/>
      <c r="DE72" s="149">
        <f t="shared" si="50"/>
        <v>0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/>
      <c r="K73" s="143"/>
      <c r="L73" s="13">
        <f t="shared" ref="L73:L77" si="52">I73+J73-K73</f>
        <v>0</v>
      </c>
      <c r="M73" s="62"/>
      <c r="N73" s="143"/>
      <c r="O73" s="13">
        <f t="shared" ref="O73:O77" si="53">L73+M73-N73</f>
        <v>0</v>
      </c>
      <c r="P73" s="62"/>
      <c r="Q73" s="143"/>
      <c r="R73" s="30">
        <f t="shared" ref="R73:R77" si="54">O73+P73-Q73</f>
        <v>0</v>
      </c>
      <c r="S73" s="62"/>
      <c r="T73" s="143"/>
      <c r="U73" s="13">
        <f t="shared" ref="U73:U76" si="55">R73+S73-T73</f>
        <v>0</v>
      </c>
      <c r="V73" s="62"/>
      <c r="W73" s="143"/>
      <c r="X73" s="13">
        <f t="shared" ref="X73:X77" si="56">U73+V73-W73</f>
        <v>0</v>
      </c>
      <c r="Y73" s="62"/>
      <c r="Z73" s="143"/>
      <c r="AA73" s="13">
        <f t="shared" ref="AA73:AA93" si="57">X73+Y73-Z73</f>
        <v>0</v>
      </c>
      <c r="AB73" s="62"/>
      <c r="AC73" s="143"/>
      <c r="AD73" s="13">
        <f t="shared" ref="AD73:AD77" si="58">AA73+AB73-AC73</f>
        <v>0</v>
      </c>
      <c r="AE73" s="62"/>
      <c r="AF73" s="143"/>
      <c r="AG73" s="13">
        <f t="shared" ref="AG73:AG77" si="59">AD73+AE73-AF73</f>
        <v>0</v>
      </c>
      <c r="AH73" s="62"/>
      <c r="AI73" s="143"/>
      <c r="AJ73" s="13">
        <f t="shared" ref="AJ73:AJ77" si="60">AG73+AH73-AI73</f>
        <v>0</v>
      </c>
      <c r="AK73" s="62"/>
      <c r="AL73" s="143"/>
      <c r="AM73" s="13">
        <f t="shared" ref="AM73:AM77" si="61">AJ73+AK73-AL73</f>
        <v>0</v>
      </c>
      <c r="AN73" s="62"/>
      <c r="AO73" s="143"/>
      <c r="AP73" s="13">
        <f t="shared" ref="AP73:AP77" si="62">AM73+AN73-AO73</f>
        <v>0</v>
      </c>
      <c r="AQ73" s="62"/>
      <c r="AR73" s="143"/>
      <c r="AS73" s="13">
        <f t="shared" ref="AS73:AS77" si="63">AP73+AQ73-AR73</f>
        <v>0</v>
      </c>
      <c r="AT73" s="62"/>
      <c r="AU73" s="143"/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1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62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62"/>
      <c r="CB73" s="143"/>
      <c r="CC73" s="13">
        <f t="shared" si="39"/>
        <v>0</v>
      </c>
      <c r="CD73" s="62"/>
      <c r="CE73" s="143"/>
      <c r="CF73" s="13">
        <f t="shared" si="40"/>
        <v>0</v>
      </c>
      <c r="CG73" s="62"/>
      <c r="CH73" s="143"/>
      <c r="CI73" s="13">
        <f t="shared" si="46"/>
        <v>0</v>
      </c>
      <c r="CJ73" s="62"/>
      <c r="CK73" s="143"/>
      <c r="CL73" s="13">
        <f t="shared" si="47"/>
        <v>0</v>
      </c>
      <c r="CM73" s="62"/>
      <c r="CN73" s="143"/>
      <c r="CO73" s="13">
        <f t="shared" si="41"/>
        <v>0</v>
      </c>
      <c r="CP73" s="62"/>
      <c r="CQ73" s="143"/>
      <c r="CR73" s="13">
        <f t="shared" si="48"/>
        <v>0</v>
      </c>
      <c r="CS73" s="62"/>
      <c r="CT73" s="143"/>
      <c r="CU73" s="14">
        <f t="shared" si="42"/>
        <v>0</v>
      </c>
      <c r="CV73" s="5">
        <f t="shared" si="43"/>
        <v>0</v>
      </c>
      <c r="CW73" s="4">
        <f t="shared" si="43"/>
        <v>0</v>
      </c>
      <c r="CX73" s="6">
        <f t="shared" si="44"/>
        <v>0</v>
      </c>
      <c r="CY73" s="162">
        <v>0</v>
      </c>
      <c r="CZ73" s="171">
        <f t="shared" si="45"/>
        <v>0</v>
      </c>
      <c r="DB73" s="2">
        <f t="shared" si="49"/>
        <v>0</v>
      </c>
      <c r="DC73" s="62"/>
      <c r="DD73" s="143"/>
      <c r="DE73" s="149">
        <f t="shared" si="50"/>
        <v>0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2</v>
      </c>
      <c r="G74" s="62">
        <v>4</v>
      </c>
      <c r="H74" s="143"/>
      <c r="I74" s="13">
        <f t="shared" si="51"/>
        <v>6</v>
      </c>
      <c r="J74" s="62"/>
      <c r="K74" s="143"/>
      <c r="L74" s="13">
        <f t="shared" si="52"/>
        <v>6</v>
      </c>
      <c r="M74" s="62"/>
      <c r="N74" s="143">
        <v>3</v>
      </c>
      <c r="O74" s="13">
        <f t="shared" si="53"/>
        <v>3</v>
      </c>
      <c r="P74" s="62"/>
      <c r="Q74" s="143"/>
      <c r="R74" s="30">
        <f t="shared" si="54"/>
        <v>3</v>
      </c>
      <c r="S74" s="62"/>
      <c r="T74" s="143"/>
      <c r="U74" s="13">
        <f t="shared" si="55"/>
        <v>3</v>
      </c>
      <c r="V74" s="62"/>
      <c r="W74" s="143"/>
      <c r="X74" s="13">
        <f t="shared" si="56"/>
        <v>3</v>
      </c>
      <c r="Y74" s="62"/>
      <c r="Z74" s="143"/>
      <c r="AA74" s="13">
        <f t="shared" si="57"/>
        <v>3</v>
      </c>
      <c r="AB74" s="62"/>
      <c r="AC74" s="143"/>
      <c r="AD74" s="13">
        <f t="shared" si="58"/>
        <v>3</v>
      </c>
      <c r="AE74" s="62"/>
      <c r="AF74" s="143"/>
      <c r="AG74" s="13">
        <f t="shared" si="59"/>
        <v>3</v>
      </c>
      <c r="AH74" s="62"/>
      <c r="AI74" s="143"/>
      <c r="AJ74" s="13">
        <f t="shared" si="60"/>
        <v>3</v>
      </c>
      <c r="AK74" s="62"/>
      <c r="AL74" s="143"/>
      <c r="AM74" s="13">
        <f t="shared" si="61"/>
        <v>3</v>
      </c>
      <c r="AN74" s="62">
        <f>4-4</f>
        <v>0</v>
      </c>
      <c r="AO74" s="143"/>
      <c r="AP74" s="13">
        <f t="shared" si="62"/>
        <v>3</v>
      </c>
      <c r="AQ74" s="62"/>
      <c r="AR74" s="143"/>
      <c r="AS74" s="13">
        <f t="shared" si="63"/>
        <v>3</v>
      </c>
      <c r="AT74" s="189">
        <v>12</v>
      </c>
      <c r="AU74" s="143"/>
      <c r="AV74" s="13">
        <f t="shared" si="64"/>
        <v>15</v>
      </c>
      <c r="AW74" s="62"/>
      <c r="AX74" s="143">
        <f>4+6+2</f>
        <v>12</v>
      </c>
      <c r="AY74" s="13">
        <f t="shared" si="65"/>
        <v>3</v>
      </c>
      <c r="AZ74" s="61"/>
      <c r="BA74" s="143"/>
      <c r="BB74" s="13">
        <f t="shared" si="66"/>
        <v>3</v>
      </c>
      <c r="BC74" s="62"/>
      <c r="BD74" s="143"/>
      <c r="BE74" s="13">
        <f t="shared" si="67"/>
        <v>3</v>
      </c>
      <c r="BF74" s="62"/>
      <c r="BG74" s="143"/>
      <c r="BH74" s="13">
        <f t="shared" si="68"/>
        <v>3</v>
      </c>
      <c r="BI74" s="62"/>
      <c r="BJ74" s="143"/>
      <c r="BK74" s="13">
        <f t="shared" si="69"/>
        <v>3</v>
      </c>
      <c r="BL74" s="62"/>
      <c r="BM74" s="143"/>
      <c r="BN74" s="13">
        <f t="shared" si="70"/>
        <v>3</v>
      </c>
      <c r="BO74" s="62"/>
      <c r="BP74" s="143">
        <v>1</v>
      </c>
      <c r="BQ74" s="13">
        <f t="shared" si="71"/>
        <v>2</v>
      </c>
      <c r="BR74" s="62">
        <v>4</v>
      </c>
      <c r="BS74" s="143"/>
      <c r="BT74" s="13">
        <f t="shared" si="37"/>
        <v>6</v>
      </c>
      <c r="BU74" s="62"/>
      <c r="BV74" s="143"/>
      <c r="BW74" s="13">
        <f t="shared" si="72"/>
        <v>6</v>
      </c>
      <c r="BX74" s="62"/>
      <c r="BY74" s="143">
        <v>3</v>
      </c>
      <c r="BZ74" s="13">
        <f t="shared" si="38"/>
        <v>3</v>
      </c>
      <c r="CA74" s="62"/>
      <c r="CB74" s="143"/>
      <c r="CC74" s="13">
        <f t="shared" si="39"/>
        <v>3</v>
      </c>
      <c r="CD74" s="62"/>
      <c r="CE74" s="143"/>
      <c r="CF74" s="13">
        <f t="shared" si="40"/>
        <v>3</v>
      </c>
      <c r="CG74" s="62"/>
      <c r="CH74" s="143"/>
      <c r="CI74" s="13">
        <f t="shared" si="46"/>
        <v>3</v>
      </c>
      <c r="CJ74" s="62">
        <v>4</v>
      </c>
      <c r="CK74" s="143"/>
      <c r="CL74" s="13">
        <f t="shared" si="47"/>
        <v>7</v>
      </c>
      <c r="CM74" s="62"/>
      <c r="CN74" s="143">
        <v>4</v>
      </c>
      <c r="CO74" s="13">
        <f t="shared" si="41"/>
        <v>3</v>
      </c>
      <c r="CP74" s="62"/>
      <c r="CQ74" s="143"/>
      <c r="CR74" s="13">
        <f t="shared" si="48"/>
        <v>3</v>
      </c>
      <c r="CS74" s="62"/>
      <c r="CT74" s="143"/>
      <c r="CU74" s="14">
        <f t="shared" si="42"/>
        <v>3</v>
      </c>
      <c r="CV74" s="5">
        <f t="shared" si="43"/>
        <v>24</v>
      </c>
      <c r="CW74" s="4">
        <f t="shared" si="43"/>
        <v>23</v>
      </c>
      <c r="CX74" s="6">
        <f t="shared" si="44"/>
        <v>3</v>
      </c>
      <c r="CY74" s="162">
        <v>825</v>
      </c>
      <c r="CZ74" s="171">
        <f t="shared" si="45"/>
        <v>2475</v>
      </c>
      <c r="DB74" s="2">
        <f t="shared" si="49"/>
        <v>3</v>
      </c>
      <c r="DC74" s="62"/>
      <c r="DD74" s="143"/>
      <c r="DE74" s="149">
        <f t="shared" si="50"/>
        <v>3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3</v>
      </c>
      <c r="G75" s="62">
        <f>-26+36</f>
        <v>10</v>
      </c>
      <c r="H75" s="143">
        <f>2+1</f>
        <v>3</v>
      </c>
      <c r="I75" s="13">
        <f t="shared" si="51"/>
        <v>10</v>
      </c>
      <c r="J75" s="62"/>
      <c r="K75" s="143"/>
      <c r="L75" s="13">
        <f>I75+J75-K75</f>
        <v>10</v>
      </c>
      <c r="M75" s="62">
        <v>8</v>
      </c>
      <c r="N75" s="143">
        <f>2+8</f>
        <v>10</v>
      </c>
      <c r="O75" s="13">
        <f t="shared" si="53"/>
        <v>8</v>
      </c>
      <c r="P75" s="62">
        <f>-11+20</f>
        <v>9</v>
      </c>
      <c r="Q75" s="143">
        <f>7+1</f>
        <v>8</v>
      </c>
      <c r="R75" s="30">
        <f t="shared" si="54"/>
        <v>9</v>
      </c>
      <c r="S75" s="62">
        <f>-33+44</f>
        <v>11</v>
      </c>
      <c r="T75" s="143">
        <v>9</v>
      </c>
      <c r="U75" s="13">
        <f t="shared" si="55"/>
        <v>11</v>
      </c>
      <c r="V75" s="62"/>
      <c r="W75" s="143"/>
      <c r="X75" s="13">
        <f t="shared" si="56"/>
        <v>11</v>
      </c>
      <c r="Y75" s="62">
        <f>-14+24</f>
        <v>10</v>
      </c>
      <c r="Z75" s="143">
        <f>4+7</f>
        <v>11</v>
      </c>
      <c r="AA75" s="13">
        <f t="shared" si="57"/>
        <v>10</v>
      </c>
      <c r="AB75" s="62">
        <f>-10-16+36</f>
        <v>10</v>
      </c>
      <c r="AC75" s="143">
        <f>2+7+1</f>
        <v>10</v>
      </c>
      <c r="AD75" s="13">
        <f t="shared" si="58"/>
        <v>10</v>
      </c>
      <c r="AE75" s="62"/>
      <c r="AF75" s="143"/>
      <c r="AG75" s="13">
        <f t="shared" si="59"/>
        <v>10</v>
      </c>
      <c r="AH75" s="62">
        <f>-12+22</f>
        <v>10</v>
      </c>
      <c r="AI75" s="143">
        <f>4+5+1</f>
        <v>10</v>
      </c>
      <c r="AJ75" s="13">
        <f t="shared" si="60"/>
        <v>10</v>
      </c>
      <c r="AK75" s="62">
        <f>-13+25</f>
        <v>12</v>
      </c>
      <c r="AL75" s="143">
        <f>3+7</f>
        <v>10</v>
      </c>
      <c r="AM75" s="13">
        <f t="shared" si="61"/>
        <v>12</v>
      </c>
      <c r="AN75" s="62">
        <f>-36-1+50</f>
        <v>13</v>
      </c>
      <c r="AO75" s="143">
        <f>2+10</f>
        <v>12</v>
      </c>
      <c r="AP75" s="13">
        <f t="shared" si="62"/>
        <v>13</v>
      </c>
      <c r="AQ75" s="62"/>
      <c r="AR75" s="143"/>
      <c r="AS75" s="13">
        <f t="shared" si="63"/>
        <v>13</v>
      </c>
      <c r="AT75" s="62">
        <f>-24+36</f>
        <v>12</v>
      </c>
      <c r="AU75" s="143">
        <f>6+7</f>
        <v>13</v>
      </c>
      <c r="AV75" s="13">
        <f t="shared" si="64"/>
        <v>12</v>
      </c>
      <c r="AW75" s="62">
        <f>-16+26</f>
        <v>10</v>
      </c>
      <c r="AX75" s="143">
        <f>4+8</f>
        <v>12</v>
      </c>
      <c r="AY75" s="13">
        <f t="shared" si="65"/>
        <v>10</v>
      </c>
      <c r="AZ75" s="61"/>
      <c r="BA75" s="143"/>
      <c r="BB75" s="13">
        <f t="shared" si="66"/>
        <v>10</v>
      </c>
      <c r="BC75" s="62">
        <f>-2+10</f>
        <v>8</v>
      </c>
      <c r="BD75" s="143">
        <f>3+6+1</f>
        <v>10</v>
      </c>
      <c r="BE75" s="13">
        <f t="shared" si="67"/>
        <v>8</v>
      </c>
      <c r="BF75" s="62">
        <f>-25+60</f>
        <v>35</v>
      </c>
      <c r="BG75" s="143">
        <v>8</v>
      </c>
      <c r="BH75" s="13">
        <f t="shared" si="68"/>
        <v>35</v>
      </c>
      <c r="BI75" s="62">
        <f>-19+57</f>
        <v>38</v>
      </c>
      <c r="BJ75" s="143">
        <f>2+32+1</f>
        <v>35</v>
      </c>
      <c r="BK75" s="13">
        <f t="shared" si="69"/>
        <v>38</v>
      </c>
      <c r="BL75" s="62"/>
      <c r="BM75" s="143"/>
      <c r="BN75" s="13">
        <f t="shared" si="70"/>
        <v>38</v>
      </c>
      <c r="BO75" s="62"/>
      <c r="BP75" s="143">
        <f>2+32</f>
        <v>34</v>
      </c>
      <c r="BQ75" s="13">
        <f t="shared" si="71"/>
        <v>4</v>
      </c>
      <c r="BR75" s="62">
        <f>-16+26</f>
        <v>10</v>
      </c>
      <c r="BS75" s="143">
        <f>3+1</f>
        <v>4</v>
      </c>
      <c r="BT75" s="13">
        <f t="shared" si="37"/>
        <v>10</v>
      </c>
      <c r="BU75" s="62"/>
      <c r="BV75" s="143"/>
      <c r="BW75" s="13">
        <f t="shared" si="72"/>
        <v>10</v>
      </c>
      <c r="BX75" s="62">
        <f>-13+20</f>
        <v>7</v>
      </c>
      <c r="BY75" s="143">
        <f>2+7+1</f>
        <v>10</v>
      </c>
      <c r="BZ75" s="13">
        <f t="shared" si="38"/>
        <v>7</v>
      </c>
      <c r="CA75" s="62">
        <f>-25+35</f>
        <v>10</v>
      </c>
      <c r="CB75" s="143">
        <f>2+5</f>
        <v>7</v>
      </c>
      <c r="CC75" s="13">
        <f t="shared" si="39"/>
        <v>10</v>
      </c>
      <c r="CD75" s="62">
        <f>-38+48</f>
        <v>10</v>
      </c>
      <c r="CE75" s="143">
        <f>3+6+1</f>
        <v>10</v>
      </c>
      <c r="CF75" s="13">
        <f t="shared" si="40"/>
        <v>10</v>
      </c>
      <c r="CG75" s="62"/>
      <c r="CH75" s="143"/>
      <c r="CI75" s="13">
        <f t="shared" si="46"/>
        <v>10</v>
      </c>
      <c r="CJ75" s="62">
        <f>-16+24</f>
        <v>8</v>
      </c>
      <c r="CK75" s="143">
        <f>2+6+2</f>
        <v>10</v>
      </c>
      <c r="CL75" s="13">
        <f t="shared" si="47"/>
        <v>8</v>
      </c>
      <c r="CM75" s="62">
        <f>-29+36</f>
        <v>7</v>
      </c>
      <c r="CN75" s="143">
        <f>3+5</f>
        <v>8</v>
      </c>
      <c r="CO75" s="13">
        <f t="shared" si="41"/>
        <v>7</v>
      </c>
      <c r="CP75" s="62"/>
      <c r="CQ75" s="143"/>
      <c r="CR75" s="13">
        <f t="shared" si="48"/>
        <v>7</v>
      </c>
      <c r="CS75" s="62">
        <f>-10+12</f>
        <v>2</v>
      </c>
      <c r="CT75" s="143">
        <f>2+5</f>
        <v>7</v>
      </c>
      <c r="CU75" s="14">
        <f t="shared" si="42"/>
        <v>2</v>
      </c>
      <c r="CV75" s="5">
        <f t="shared" si="43"/>
        <v>250</v>
      </c>
      <c r="CW75" s="4">
        <f t="shared" si="43"/>
        <v>251</v>
      </c>
      <c r="CX75" s="6">
        <f t="shared" si="44"/>
        <v>2</v>
      </c>
      <c r="CY75" s="162">
        <v>650</v>
      </c>
      <c r="CZ75" s="171">
        <f t="shared" si="45"/>
        <v>1300</v>
      </c>
      <c r="DB75" s="2">
        <f t="shared" si="49"/>
        <v>2</v>
      </c>
      <c r="DC75" s="62"/>
      <c r="DD75" s="143"/>
      <c r="DE75" s="149">
        <f t="shared" si="50"/>
        <v>2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2"/>
      <c r="AL76" s="143"/>
      <c r="AM76" s="13">
        <f t="shared" si="61"/>
        <v>0</v>
      </c>
      <c r="AN76" s="62"/>
      <c r="AO76" s="143"/>
      <c r="AP76" s="13">
        <f t="shared" si="62"/>
        <v>0</v>
      </c>
      <c r="AQ76" s="62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/>
      <c r="BM76" s="143"/>
      <c r="BN76" s="13">
        <f t="shared" si="70"/>
        <v>0</v>
      </c>
      <c r="BO76" s="62"/>
      <c r="BP76" s="143"/>
      <c r="BQ76" s="13">
        <f t="shared" si="71"/>
        <v>0</v>
      </c>
      <c r="BR76" s="62"/>
      <c r="BS76" s="143"/>
      <c r="BT76" s="13">
        <f t="shared" si="37"/>
        <v>0</v>
      </c>
      <c r="BU76" s="62"/>
      <c r="BV76" s="143"/>
      <c r="BW76" s="13">
        <f t="shared" si="72"/>
        <v>0</v>
      </c>
      <c r="BX76" s="62"/>
      <c r="BY76" s="143"/>
      <c r="BZ76" s="13">
        <f t="shared" si="38"/>
        <v>0</v>
      </c>
      <c r="CA76" s="62"/>
      <c r="CB76" s="143"/>
      <c r="CC76" s="13">
        <f t="shared" si="39"/>
        <v>0</v>
      </c>
      <c r="CD76" s="62"/>
      <c r="CE76" s="143"/>
      <c r="CF76" s="13">
        <f t="shared" si="40"/>
        <v>0</v>
      </c>
      <c r="CG76" s="62"/>
      <c r="CH76" s="143"/>
      <c r="CI76" s="13">
        <f t="shared" si="46"/>
        <v>0</v>
      </c>
      <c r="CJ76" s="62"/>
      <c r="CK76" s="143"/>
      <c r="CL76" s="13">
        <f t="shared" si="47"/>
        <v>0</v>
      </c>
      <c r="CM76" s="62"/>
      <c r="CN76" s="143"/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0</v>
      </c>
      <c r="CW76" s="4">
        <f t="shared" si="43"/>
        <v>0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29</v>
      </c>
      <c r="G77" s="62"/>
      <c r="H77" s="143">
        <f>10+6+10</f>
        <v>26</v>
      </c>
      <c r="I77" s="13">
        <f>F77+G77-H77</f>
        <v>3</v>
      </c>
      <c r="J77" s="62">
        <v>36</v>
      </c>
      <c r="K77" s="143">
        <f>9+6+15</f>
        <v>30</v>
      </c>
      <c r="L77" s="13">
        <f t="shared" si="52"/>
        <v>9</v>
      </c>
      <c r="M77" s="62">
        <v>36</v>
      </c>
      <c r="N77" s="143">
        <f>9+1</f>
        <v>10</v>
      </c>
      <c r="O77" s="13">
        <f t="shared" si="53"/>
        <v>35</v>
      </c>
      <c r="P77" s="62"/>
      <c r="Q77" s="143">
        <f>9+1+1</f>
        <v>11</v>
      </c>
      <c r="R77" s="30">
        <f t="shared" si="54"/>
        <v>24</v>
      </c>
      <c r="S77" s="62"/>
      <c r="T77" s="143">
        <v>6</v>
      </c>
      <c r="U77" s="13">
        <f>R77+S77-T77</f>
        <v>18</v>
      </c>
      <c r="V77" s="62"/>
      <c r="W77" s="143"/>
      <c r="X77" s="13">
        <f t="shared" si="56"/>
        <v>18</v>
      </c>
      <c r="Y77" s="62">
        <v>36</v>
      </c>
      <c r="Z77" s="143">
        <f>2+6+18</f>
        <v>26</v>
      </c>
      <c r="AA77" s="13">
        <f t="shared" si="57"/>
        <v>28</v>
      </c>
      <c r="AB77" s="62"/>
      <c r="AC77" s="143">
        <f>1+9+6</f>
        <v>16</v>
      </c>
      <c r="AD77" s="13">
        <f t="shared" si="58"/>
        <v>12</v>
      </c>
      <c r="AE77" s="62">
        <v>36</v>
      </c>
      <c r="AF77" s="143">
        <f>9+6+11</f>
        <v>26</v>
      </c>
      <c r="AG77" s="13">
        <f t="shared" si="59"/>
        <v>22</v>
      </c>
      <c r="AH77" s="62"/>
      <c r="AI77" s="143">
        <f>9+1+4-4</f>
        <v>10</v>
      </c>
      <c r="AJ77" s="13">
        <f t="shared" si="60"/>
        <v>12</v>
      </c>
      <c r="AK77" s="62">
        <v>36</v>
      </c>
      <c r="AL77" s="143">
        <f>2+1+1</f>
        <v>4</v>
      </c>
      <c r="AM77" s="13">
        <f t="shared" si="61"/>
        <v>44</v>
      </c>
      <c r="AN77" s="62"/>
      <c r="AO77" s="143">
        <f>6</f>
        <v>6</v>
      </c>
      <c r="AP77" s="13">
        <f t="shared" si="62"/>
        <v>38</v>
      </c>
      <c r="AQ77" s="62"/>
      <c r="AR77" s="143"/>
      <c r="AS77" s="13">
        <f t="shared" si="63"/>
        <v>38</v>
      </c>
      <c r="AT77" s="62">
        <v>36</v>
      </c>
      <c r="AU77" s="143">
        <f>9+5+14</f>
        <v>28</v>
      </c>
      <c r="AV77" s="13">
        <f t="shared" si="64"/>
        <v>46</v>
      </c>
      <c r="AW77" s="62"/>
      <c r="AX77" s="143">
        <f>1+10</f>
        <v>11</v>
      </c>
      <c r="AY77" s="13">
        <f t="shared" si="65"/>
        <v>35</v>
      </c>
      <c r="AZ77" s="62"/>
      <c r="BA77" s="143">
        <f>9+6+14</f>
        <v>29</v>
      </c>
      <c r="BB77" s="13">
        <f t="shared" si="66"/>
        <v>6</v>
      </c>
      <c r="BC77" s="62">
        <v>36</v>
      </c>
      <c r="BD77" s="143">
        <f>9+6</f>
        <v>15</v>
      </c>
      <c r="BE77" s="13">
        <f t="shared" si="67"/>
        <v>27</v>
      </c>
      <c r="BF77" s="62"/>
      <c r="BG77" s="143">
        <f>1+1</f>
        <v>2</v>
      </c>
      <c r="BH77" s="13">
        <f t="shared" si="68"/>
        <v>25</v>
      </c>
      <c r="BI77" s="62"/>
      <c r="BJ77" s="143">
        <f>9</f>
        <v>9</v>
      </c>
      <c r="BK77" s="13">
        <f t="shared" si="69"/>
        <v>16</v>
      </c>
      <c r="BL77" s="62"/>
      <c r="BM77" s="143"/>
      <c r="BN77" s="13">
        <f t="shared" si="70"/>
        <v>16</v>
      </c>
      <c r="BO77" s="62"/>
      <c r="BP77" s="143"/>
      <c r="BQ77" s="13">
        <f t="shared" si="71"/>
        <v>16</v>
      </c>
      <c r="BR77" s="62">
        <v>36</v>
      </c>
      <c r="BS77" s="143">
        <f>3+6+7+7+1</f>
        <v>24</v>
      </c>
      <c r="BT77" s="13">
        <f t="shared" si="37"/>
        <v>28</v>
      </c>
      <c r="BU77" s="62"/>
      <c r="BV77" s="143">
        <f>9+6+10</f>
        <v>25</v>
      </c>
      <c r="BW77" s="13">
        <f t="shared" si="72"/>
        <v>3</v>
      </c>
      <c r="BX77" s="62">
        <v>36</v>
      </c>
      <c r="BY77" s="143">
        <f>9+1</f>
        <v>10</v>
      </c>
      <c r="BZ77" s="13">
        <f t="shared" si="38"/>
        <v>29</v>
      </c>
      <c r="CA77" s="62"/>
      <c r="CB77" s="143">
        <f>9+1</f>
        <v>10</v>
      </c>
      <c r="CC77" s="13">
        <f t="shared" si="39"/>
        <v>19</v>
      </c>
      <c r="CD77" s="62"/>
      <c r="CE77" s="143"/>
      <c r="CF77" s="13">
        <f t="shared" si="40"/>
        <v>19</v>
      </c>
      <c r="CG77" s="62"/>
      <c r="CH77" s="143"/>
      <c r="CI77" s="13">
        <f t="shared" si="46"/>
        <v>19</v>
      </c>
      <c r="CJ77" s="62">
        <v>36</v>
      </c>
      <c r="CK77" s="143">
        <f>3+6+16+6</f>
        <v>31</v>
      </c>
      <c r="CL77" s="13">
        <f t="shared" si="47"/>
        <v>24</v>
      </c>
      <c r="CM77" s="62"/>
      <c r="CN77" s="143">
        <f>9+1+1+12</f>
        <v>23</v>
      </c>
      <c r="CO77" s="13">
        <f t="shared" si="41"/>
        <v>1</v>
      </c>
      <c r="CP77" s="62">
        <v>36</v>
      </c>
      <c r="CQ77" s="143">
        <f>9+6+8</f>
        <v>23</v>
      </c>
      <c r="CR77" s="13">
        <f t="shared" si="48"/>
        <v>14</v>
      </c>
      <c r="CS77" s="62"/>
      <c r="CT77" s="143">
        <f>12+1+1</f>
        <v>14</v>
      </c>
      <c r="CU77" s="14">
        <f t="shared" si="42"/>
        <v>0</v>
      </c>
      <c r="CV77" s="5">
        <f t="shared" si="43"/>
        <v>396</v>
      </c>
      <c r="CW77" s="4">
        <f t="shared" si="43"/>
        <v>425</v>
      </c>
      <c r="CX77" s="6">
        <f t="shared" si="44"/>
        <v>0</v>
      </c>
      <c r="CY77" s="162">
        <v>195</v>
      </c>
      <c r="CZ77" s="171">
        <f t="shared" si="45"/>
        <v>0</v>
      </c>
      <c r="DB77" s="2">
        <f t="shared" si="49"/>
        <v>0</v>
      </c>
      <c r="DC77" s="62"/>
      <c r="DD77" s="143"/>
      <c r="DE77" s="149">
        <f t="shared" si="50"/>
        <v>0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2850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6</v>
      </c>
      <c r="G80" s="62"/>
      <c r="H80" s="143"/>
      <c r="I80" s="13">
        <f t="shared" si="73"/>
        <v>6</v>
      </c>
      <c r="J80" s="62"/>
      <c r="K80" s="143"/>
      <c r="L80" s="13">
        <f t="shared" si="74"/>
        <v>6</v>
      </c>
      <c r="M80" s="62">
        <v>12</v>
      </c>
      <c r="N80" s="143">
        <v>3</v>
      </c>
      <c r="O80" s="13">
        <f t="shared" si="75"/>
        <v>15</v>
      </c>
      <c r="P80" s="62"/>
      <c r="Q80" s="143">
        <f>3+3</f>
        <v>6</v>
      </c>
      <c r="R80" s="30">
        <f t="shared" si="76"/>
        <v>9</v>
      </c>
      <c r="S80" s="62"/>
      <c r="T80" s="143"/>
      <c r="U80" s="13">
        <f t="shared" si="77"/>
        <v>9</v>
      </c>
      <c r="V80" s="62"/>
      <c r="W80" s="143"/>
      <c r="X80" s="30">
        <f t="shared" si="78"/>
        <v>9</v>
      </c>
      <c r="Y80" s="62"/>
      <c r="Z80" s="143"/>
      <c r="AA80" s="13">
        <f t="shared" si="79"/>
        <v>9</v>
      </c>
      <c r="AB80" s="62">
        <v>12</v>
      </c>
      <c r="AC80" s="143"/>
      <c r="AD80" s="13">
        <f t="shared" si="80"/>
        <v>21</v>
      </c>
      <c r="AE80" s="62"/>
      <c r="AF80" s="143"/>
      <c r="AG80" s="13">
        <f t="shared" si="81"/>
        <v>21</v>
      </c>
      <c r="AH80" s="62"/>
      <c r="AI80" s="143">
        <v>3</v>
      </c>
      <c r="AJ80" s="13">
        <f t="shared" si="82"/>
        <v>18</v>
      </c>
      <c r="AK80" s="62"/>
      <c r="AL80" s="143">
        <f>4+4+3</f>
        <v>11</v>
      </c>
      <c r="AM80" s="13">
        <f t="shared" si="83"/>
        <v>7</v>
      </c>
      <c r="AN80" s="62"/>
      <c r="AO80" s="143"/>
      <c r="AP80" s="13">
        <f t="shared" si="84"/>
        <v>7</v>
      </c>
      <c r="AQ80" s="62"/>
      <c r="AR80" s="143"/>
      <c r="AS80" s="13">
        <f t="shared" si="85"/>
        <v>7</v>
      </c>
      <c r="AT80" s="62"/>
      <c r="AU80" s="143"/>
      <c r="AV80" s="13">
        <f t="shared" si="86"/>
        <v>7</v>
      </c>
      <c r="AW80" s="62"/>
      <c r="AX80" s="143"/>
      <c r="AY80" s="13">
        <f t="shared" si="87"/>
        <v>7</v>
      </c>
      <c r="AZ80" s="62"/>
      <c r="BA80" s="143"/>
      <c r="BB80" s="13">
        <f t="shared" si="88"/>
        <v>7</v>
      </c>
      <c r="BC80" s="62">
        <v>12</v>
      </c>
      <c r="BD80" s="143">
        <v>3</v>
      </c>
      <c r="BE80" s="13">
        <f t="shared" si="89"/>
        <v>16</v>
      </c>
      <c r="BF80" s="62"/>
      <c r="BG80" s="143">
        <f>3+4+3</f>
        <v>10</v>
      </c>
      <c r="BH80" s="13">
        <f t="shared" si="90"/>
        <v>6</v>
      </c>
      <c r="BI80" s="62"/>
      <c r="BJ80" s="143"/>
      <c r="BK80" s="13">
        <f t="shared" si="91"/>
        <v>6</v>
      </c>
      <c r="BL80" s="62"/>
      <c r="BM80" s="143"/>
      <c r="BN80" s="13">
        <f t="shared" si="92"/>
        <v>6</v>
      </c>
      <c r="BO80" s="62"/>
      <c r="BP80" s="143"/>
      <c r="BQ80" s="13">
        <f t="shared" si="93"/>
        <v>6</v>
      </c>
      <c r="BR80" s="62"/>
      <c r="BS80" s="143"/>
      <c r="BT80" s="13">
        <f t="shared" si="37"/>
        <v>6</v>
      </c>
      <c r="BU80" s="62"/>
      <c r="BV80" s="143"/>
      <c r="BW80" s="13">
        <f t="shared" si="94"/>
        <v>6</v>
      </c>
      <c r="BX80" s="62">
        <v>18</v>
      </c>
      <c r="BY80" s="143">
        <f>3+3</f>
        <v>6</v>
      </c>
      <c r="BZ80" s="13">
        <f t="shared" si="38"/>
        <v>18</v>
      </c>
      <c r="CA80" s="62"/>
      <c r="CB80" s="143">
        <f>4</f>
        <v>4</v>
      </c>
      <c r="CC80" s="13">
        <f t="shared" si="39"/>
        <v>14</v>
      </c>
      <c r="CD80" s="62"/>
      <c r="CE80" s="143"/>
      <c r="CF80" s="13">
        <f t="shared" si="40"/>
        <v>14</v>
      </c>
      <c r="CG80" s="62"/>
      <c r="CH80" s="143"/>
      <c r="CI80" s="13">
        <f t="shared" si="46"/>
        <v>14</v>
      </c>
      <c r="CJ80" s="62"/>
      <c r="CK80" s="143">
        <v>4</v>
      </c>
      <c r="CL80" s="13">
        <f t="shared" si="47"/>
        <v>10</v>
      </c>
      <c r="CM80" s="62"/>
      <c r="CN80" s="143"/>
      <c r="CO80" s="13">
        <f t="shared" si="41"/>
        <v>10</v>
      </c>
      <c r="CP80" s="62"/>
      <c r="CQ80" s="143"/>
      <c r="CR80" s="13">
        <f t="shared" si="48"/>
        <v>10</v>
      </c>
      <c r="CS80" s="62"/>
      <c r="CT80" s="143">
        <f>4+3</f>
        <v>7</v>
      </c>
      <c r="CU80" s="14">
        <f t="shared" si="42"/>
        <v>3</v>
      </c>
      <c r="CV80" s="5">
        <f t="shared" si="43"/>
        <v>54</v>
      </c>
      <c r="CW80" s="4">
        <f t="shared" si="43"/>
        <v>57</v>
      </c>
      <c r="CX80" s="6">
        <f t="shared" si="95"/>
        <v>3</v>
      </c>
      <c r="CY80" s="162">
        <v>2850</v>
      </c>
      <c r="CZ80" s="171">
        <f t="shared" si="45"/>
        <v>8550</v>
      </c>
      <c r="DB80" s="2">
        <f t="shared" si="49"/>
        <v>3</v>
      </c>
      <c r="DC80" s="62"/>
      <c r="DD80" s="143"/>
      <c r="DE80" s="149">
        <f t="shared" si="50"/>
        <v>3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48</v>
      </c>
      <c r="G81" s="62"/>
      <c r="H81" s="143">
        <v>4</v>
      </c>
      <c r="I81" s="13">
        <f t="shared" si="73"/>
        <v>44</v>
      </c>
      <c r="J81" s="62"/>
      <c r="K81" s="143">
        <v>5</v>
      </c>
      <c r="L81" s="13">
        <f t="shared" si="74"/>
        <v>39</v>
      </c>
      <c r="M81" s="62">
        <v>28</v>
      </c>
      <c r="N81" s="143">
        <v>3</v>
      </c>
      <c r="O81" s="13">
        <f t="shared" si="75"/>
        <v>64</v>
      </c>
      <c r="P81" s="62"/>
      <c r="Q81" s="143">
        <v>2</v>
      </c>
      <c r="R81" s="13">
        <f t="shared" si="76"/>
        <v>62</v>
      </c>
      <c r="S81" s="62"/>
      <c r="T81" s="143">
        <v>8</v>
      </c>
      <c r="U81" s="13">
        <f t="shared" si="77"/>
        <v>54</v>
      </c>
      <c r="V81" s="62"/>
      <c r="W81" s="143"/>
      <c r="X81" s="13">
        <f t="shared" si="78"/>
        <v>54</v>
      </c>
      <c r="Y81" s="62"/>
      <c r="Z81" s="143">
        <v>5</v>
      </c>
      <c r="AA81" s="13">
        <f t="shared" si="79"/>
        <v>49</v>
      </c>
      <c r="AB81" s="62"/>
      <c r="AC81" s="143">
        <v>5</v>
      </c>
      <c r="AD81" s="13">
        <f t="shared" si="80"/>
        <v>44</v>
      </c>
      <c r="AE81" s="62"/>
      <c r="AF81" s="143"/>
      <c r="AG81" s="13">
        <f t="shared" si="81"/>
        <v>44</v>
      </c>
      <c r="AH81" s="62"/>
      <c r="AI81" s="143">
        <v>5</v>
      </c>
      <c r="AJ81" s="13">
        <f t="shared" si="82"/>
        <v>39</v>
      </c>
      <c r="AK81" s="62"/>
      <c r="AL81" s="143">
        <v>4</v>
      </c>
      <c r="AM81" s="13">
        <f t="shared" si="83"/>
        <v>35</v>
      </c>
      <c r="AN81" s="62"/>
      <c r="AO81" s="143">
        <v>6</v>
      </c>
      <c r="AP81" s="13">
        <f t="shared" si="84"/>
        <v>29</v>
      </c>
      <c r="AQ81" s="62"/>
      <c r="AR81" s="143"/>
      <c r="AS81" s="13">
        <f t="shared" si="85"/>
        <v>29</v>
      </c>
      <c r="AT81" s="62"/>
      <c r="AU81" s="143">
        <v>4</v>
      </c>
      <c r="AV81" s="13">
        <f t="shared" si="86"/>
        <v>25</v>
      </c>
      <c r="AW81" s="62"/>
      <c r="AX81" s="143">
        <v>2</v>
      </c>
      <c r="AY81" s="13">
        <f t="shared" si="87"/>
        <v>23</v>
      </c>
      <c r="AZ81" s="62"/>
      <c r="BA81" s="143"/>
      <c r="BB81" s="13">
        <f t="shared" si="88"/>
        <v>23</v>
      </c>
      <c r="BC81" s="62">
        <v>28</v>
      </c>
      <c r="BD81" s="143">
        <v>5</v>
      </c>
      <c r="BE81" s="13">
        <f t="shared" si="89"/>
        <v>46</v>
      </c>
      <c r="BF81" s="62"/>
      <c r="BG81" s="143">
        <v>3</v>
      </c>
      <c r="BH81" s="13">
        <f t="shared" si="90"/>
        <v>43</v>
      </c>
      <c r="BI81" s="62"/>
      <c r="BJ81" s="143">
        <v>5</v>
      </c>
      <c r="BK81" s="13">
        <f t="shared" si="91"/>
        <v>38</v>
      </c>
      <c r="BL81" s="62"/>
      <c r="BM81" s="143"/>
      <c r="BN81" s="13">
        <f t="shared" si="92"/>
        <v>38</v>
      </c>
      <c r="BO81" s="62"/>
      <c r="BP81" s="143">
        <v>6</v>
      </c>
      <c r="BQ81" s="13">
        <f t="shared" si="93"/>
        <v>32</v>
      </c>
      <c r="BR81" s="62"/>
      <c r="BS81" s="143">
        <v>3</v>
      </c>
      <c r="BT81" s="13">
        <f t="shared" si="37"/>
        <v>29</v>
      </c>
      <c r="BU81" s="62"/>
      <c r="BV81" s="143"/>
      <c r="BW81" s="13">
        <f t="shared" si="94"/>
        <v>29</v>
      </c>
      <c r="BX81" s="62">
        <v>28</v>
      </c>
      <c r="BY81" s="143">
        <v>4</v>
      </c>
      <c r="BZ81" s="13">
        <f t="shared" si="38"/>
        <v>53</v>
      </c>
      <c r="CA81" s="62"/>
      <c r="CB81" s="143">
        <v>3</v>
      </c>
      <c r="CC81" s="13">
        <f t="shared" si="39"/>
        <v>50</v>
      </c>
      <c r="CD81" s="62"/>
      <c r="CE81" s="143">
        <v>7</v>
      </c>
      <c r="CF81" s="13">
        <f t="shared" si="40"/>
        <v>43</v>
      </c>
      <c r="CG81" s="62"/>
      <c r="CH81" s="143"/>
      <c r="CI81" s="13">
        <f t="shared" si="46"/>
        <v>43</v>
      </c>
      <c r="CJ81" s="62"/>
      <c r="CK81" s="143">
        <v>4</v>
      </c>
      <c r="CL81" s="13">
        <f t="shared" si="47"/>
        <v>39</v>
      </c>
      <c r="CM81" s="62"/>
      <c r="CN81" s="143">
        <v>4</v>
      </c>
      <c r="CO81" s="13">
        <f t="shared" si="41"/>
        <v>35</v>
      </c>
      <c r="CP81" s="62"/>
      <c r="CQ81" s="143"/>
      <c r="CR81" s="13">
        <f t="shared" si="48"/>
        <v>35</v>
      </c>
      <c r="CS81" s="62">
        <v>28</v>
      </c>
      <c r="CT81" s="143">
        <v>5</v>
      </c>
      <c r="CU81" s="14">
        <f t="shared" si="42"/>
        <v>58</v>
      </c>
      <c r="CV81" s="5">
        <f t="shared" si="43"/>
        <v>112</v>
      </c>
      <c r="CW81" s="4">
        <f t="shared" si="43"/>
        <v>102</v>
      </c>
      <c r="CX81" s="6">
        <f t="shared" si="95"/>
        <v>58</v>
      </c>
      <c r="CY81" s="162"/>
      <c r="CZ81" s="171">
        <f t="shared" si="45"/>
        <v>0</v>
      </c>
      <c r="DB81" s="2">
        <f t="shared" si="49"/>
        <v>58</v>
      </c>
      <c r="DC81" s="62"/>
      <c r="DD81" s="143"/>
      <c r="DE81" s="149">
        <f t="shared" si="50"/>
        <v>58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1</v>
      </c>
      <c r="G82" s="62"/>
      <c r="H82" s="143">
        <v>1</v>
      </c>
      <c r="I82" s="13">
        <f t="shared" si="73"/>
        <v>0</v>
      </c>
      <c r="J82" s="62"/>
      <c r="K82" s="143"/>
      <c r="L82" s="13">
        <f t="shared" si="74"/>
        <v>0</v>
      </c>
      <c r="M82" s="62">
        <v>12</v>
      </c>
      <c r="N82" s="143">
        <v>4</v>
      </c>
      <c r="O82" s="13">
        <f t="shared" si="75"/>
        <v>8</v>
      </c>
      <c r="P82" s="62"/>
      <c r="Q82" s="143">
        <v>2</v>
      </c>
      <c r="R82" s="30">
        <f t="shared" si="76"/>
        <v>6</v>
      </c>
      <c r="S82" s="62"/>
      <c r="T82" s="143"/>
      <c r="U82" s="13">
        <f t="shared" si="77"/>
        <v>6</v>
      </c>
      <c r="V82" s="62"/>
      <c r="W82" s="143"/>
      <c r="X82" s="13">
        <f t="shared" si="78"/>
        <v>6</v>
      </c>
      <c r="Y82" s="62">
        <v>6</v>
      </c>
      <c r="Z82" s="143">
        <f>1+2</f>
        <v>3</v>
      </c>
      <c r="AA82" s="13">
        <f t="shared" si="79"/>
        <v>9</v>
      </c>
      <c r="AB82" s="62"/>
      <c r="AC82" s="143">
        <v>2</v>
      </c>
      <c r="AD82" s="13">
        <f t="shared" si="80"/>
        <v>7</v>
      </c>
      <c r="AE82" s="62"/>
      <c r="AF82" s="143"/>
      <c r="AG82" s="13">
        <f t="shared" si="81"/>
        <v>7</v>
      </c>
      <c r="AH82" s="62"/>
      <c r="AI82" s="143">
        <v>1</v>
      </c>
      <c r="AJ82" s="13">
        <f t="shared" si="82"/>
        <v>6</v>
      </c>
      <c r="AK82" s="62"/>
      <c r="AL82" s="143">
        <v>2</v>
      </c>
      <c r="AM82" s="13">
        <f t="shared" si="83"/>
        <v>4</v>
      </c>
      <c r="AN82" s="62"/>
      <c r="AO82" s="143">
        <v>3</v>
      </c>
      <c r="AP82" s="13">
        <f t="shared" si="84"/>
        <v>1</v>
      </c>
      <c r="AQ82" s="62"/>
      <c r="AR82" s="143"/>
      <c r="AS82" s="13">
        <f t="shared" si="85"/>
        <v>1</v>
      </c>
      <c r="AT82" s="62">
        <v>12</v>
      </c>
      <c r="AU82" s="143">
        <v>4</v>
      </c>
      <c r="AV82" s="13">
        <f t="shared" si="86"/>
        <v>9</v>
      </c>
      <c r="AW82" s="62">
        <v>6</v>
      </c>
      <c r="AX82" s="143">
        <v>1</v>
      </c>
      <c r="AY82" s="13">
        <f t="shared" si="87"/>
        <v>14</v>
      </c>
      <c r="AZ82" s="62"/>
      <c r="BA82" s="143"/>
      <c r="BB82" s="13">
        <f t="shared" si="88"/>
        <v>14</v>
      </c>
      <c r="BC82" s="62"/>
      <c r="BD82" s="143">
        <v>1</v>
      </c>
      <c r="BE82" s="13">
        <f t="shared" si="89"/>
        <v>13</v>
      </c>
      <c r="BF82" s="62"/>
      <c r="BG82" s="143">
        <v>2</v>
      </c>
      <c r="BH82" s="13">
        <f t="shared" si="90"/>
        <v>11</v>
      </c>
      <c r="BI82" s="62"/>
      <c r="BJ82" s="143">
        <v>3</v>
      </c>
      <c r="BK82" s="13">
        <f t="shared" si="91"/>
        <v>8</v>
      </c>
      <c r="BL82" s="62"/>
      <c r="BM82" s="143"/>
      <c r="BN82" s="13">
        <f t="shared" si="92"/>
        <v>8</v>
      </c>
      <c r="BO82" s="62"/>
      <c r="BP82" s="143"/>
      <c r="BQ82" s="13">
        <f t="shared" si="93"/>
        <v>8</v>
      </c>
      <c r="BR82" s="62">
        <v>6</v>
      </c>
      <c r="BS82" s="143">
        <f>1+3</f>
        <v>4</v>
      </c>
      <c r="BT82" s="13">
        <f t="shared" si="37"/>
        <v>10</v>
      </c>
      <c r="BU82" s="62"/>
      <c r="BV82" s="143"/>
      <c r="BW82" s="13">
        <f t="shared" si="94"/>
        <v>10</v>
      </c>
      <c r="BX82" s="62">
        <v>6</v>
      </c>
      <c r="BY82" s="143">
        <f>1+3</f>
        <v>4</v>
      </c>
      <c r="BZ82" s="13">
        <f t="shared" si="38"/>
        <v>12</v>
      </c>
      <c r="CA82" s="62"/>
      <c r="CB82" s="143">
        <v>2</v>
      </c>
      <c r="CC82" s="13">
        <f t="shared" si="39"/>
        <v>10</v>
      </c>
      <c r="CD82" s="62"/>
      <c r="CE82" s="143">
        <f>1+2</f>
        <v>3</v>
      </c>
      <c r="CF82" s="13">
        <f t="shared" si="40"/>
        <v>7</v>
      </c>
      <c r="CG82" s="62"/>
      <c r="CH82" s="143"/>
      <c r="CI82" s="13">
        <f t="shared" si="46"/>
        <v>7</v>
      </c>
      <c r="CJ82" s="62">
        <v>6</v>
      </c>
      <c r="CK82" s="143">
        <v>4</v>
      </c>
      <c r="CL82" s="13">
        <f t="shared" si="47"/>
        <v>9</v>
      </c>
      <c r="CM82" s="62"/>
      <c r="CN82" s="143">
        <v>2</v>
      </c>
      <c r="CO82" s="13">
        <f t="shared" si="41"/>
        <v>7</v>
      </c>
      <c r="CP82" s="62"/>
      <c r="CQ82" s="143"/>
      <c r="CR82" s="13">
        <f t="shared" si="48"/>
        <v>7</v>
      </c>
      <c r="CS82" s="62"/>
      <c r="CT82" s="143">
        <v>2</v>
      </c>
      <c r="CU82" s="14">
        <f t="shared" si="42"/>
        <v>5</v>
      </c>
      <c r="CV82" s="129">
        <f t="shared" si="43"/>
        <v>54</v>
      </c>
      <c r="CW82" s="130">
        <f t="shared" si="43"/>
        <v>50</v>
      </c>
      <c r="CX82" s="131">
        <f t="shared" si="95"/>
        <v>5</v>
      </c>
      <c r="CY82" s="163">
        <v>0</v>
      </c>
      <c r="CZ82" s="172">
        <f t="shared" si="45"/>
        <v>0</v>
      </c>
      <c r="DB82" s="2">
        <f t="shared" si="49"/>
        <v>5</v>
      </c>
      <c r="DC82" s="62"/>
      <c r="DD82" s="143"/>
      <c r="DE82" s="149">
        <f t="shared" si="50"/>
        <v>5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35</v>
      </c>
      <c r="G83" s="62">
        <v>48</v>
      </c>
      <c r="H83" s="143">
        <f>2+28</f>
        <v>30</v>
      </c>
      <c r="I83" s="13">
        <f t="shared" si="73"/>
        <v>53</v>
      </c>
      <c r="J83" s="62"/>
      <c r="K83" s="143"/>
      <c r="L83" s="13">
        <f t="shared" si="74"/>
        <v>53</v>
      </c>
      <c r="M83" s="62"/>
      <c r="N83" s="143">
        <f>4+6</f>
        <v>10</v>
      </c>
      <c r="O83" s="13">
        <f t="shared" si="75"/>
        <v>43</v>
      </c>
      <c r="P83" s="62">
        <v>48</v>
      </c>
      <c r="Q83" s="143">
        <f>4+19</f>
        <v>23</v>
      </c>
      <c r="R83" s="30">
        <f t="shared" si="76"/>
        <v>68</v>
      </c>
      <c r="S83" s="62">
        <v>24</v>
      </c>
      <c r="T83" s="143">
        <f>4+22</f>
        <v>26</v>
      </c>
      <c r="U83" s="13">
        <f t="shared" si="77"/>
        <v>66</v>
      </c>
      <c r="V83" s="62"/>
      <c r="W83" s="143"/>
      <c r="X83" s="13">
        <f>U83+V83-W83</f>
        <v>66</v>
      </c>
      <c r="Y83" s="62">
        <v>48</v>
      </c>
      <c r="Z83" s="143">
        <v>30</v>
      </c>
      <c r="AA83" s="13">
        <f t="shared" si="79"/>
        <v>84</v>
      </c>
      <c r="AB83" s="62"/>
      <c r="AC83" s="143">
        <f>2+12</f>
        <v>14</v>
      </c>
      <c r="AD83" s="13">
        <f t="shared" si="80"/>
        <v>70</v>
      </c>
      <c r="AE83" s="62"/>
      <c r="AF83" s="143"/>
      <c r="AG83" s="13">
        <f t="shared" si="81"/>
        <v>70</v>
      </c>
      <c r="AH83" s="62"/>
      <c r="AI83" s="143">
        <v>15</v>
      </c>
      <c r="AJ83" s="13">
        <f t="shared" si="82"/>
        <v>55</v>
      </c>
      <c r="AK83" s="62"/>
      <c r="AL83" s="143">
        <v>19</v>
      </c>
      <c r="AM83" s="13">
        <f t="shared" si="83"/>
        <v>36</v>
      </c>
      <c r="AN83" s="62"/>
      <c r="AO83" s="143">
        <v>30</v>
      </c>
      <c r="AP83" s="13">
        <f t="shared" si="84"/>
        <v>6</v>
      </c>
      <c r="AQ83" s="62"/>
      <c r="AR83" s="143"/>
      <c r="AS83" s="13">
        <f t="shared" si="85"/>
        <v>6</v>
      </c>
      <c r="AT83" s="62">
        <f>48+24</f>
        <v>72</v>
      </c>
      <c r="AU83" s="143">
        <v>10</v>
      </c>
      <c r="AV83" s="13">
        <f t="shared" si="86"/>
        <v>68</v>
      </c>
      <c r="AW83" s="62">
        <v>48</v>
      </c>
      <c r="AX83" s="143">
        <f>2+20</f>
        <v>22</v>
      </c>
      <c r="AY83" s="13">
        <f t="shared" si="87"/>
        <v>94</v>
      </c>
      <c r="AZ83" s="62"/>
      <c r="BA83" s="143"/>
      <c r="BB83" s="13">
        <f t="shared" si="88"/>
        <v>94</v>
      </c>
      <c r="BC83" s="62"/>
      <c r="BD83" s="143">
        <f>2+8</f>
        <v>10</v>
      </c>
      <c r="BE83" s="13">
        <f t="shared" si="89"/>
        <v>84</v>
      </c>
      <c r="BF83" s="62"/>
      <c r="BG83" s="143">
        <v>8</v>
      </c>
      <c r="BH83" s="13">
        <f t="shared" si="90"/>
        <v>76</v>
      </c>
      <c r="BI83" s="62">
        <v>48</v>
      </c>
      <c r="BJ83" s="143">
        <f>2+32</f>
        <v>34</v>
      </c>
      <c r="BK83" s="13">
        <f t="shared" si="91"/>
        <v>90</v>
      </c>
      <c r="BL83" s="62"/>
      <c r="BM83" s="143"/>
      <c r="BN83" s="13">
        <f t="shared" si="92"/>
        <v>90</v>
      </c>
      <c r="BO83" s="62"/>
      <c r="BP83" s="143">
        <f>2+23</f>
        <v>25</v>
      </c>
      <c r="BQ83" s="13">
        <f t="shared" si="93"/>
        <v>65</v>
      </c>
      <c r="BR83" s="62">
        <v>24</v>
      </c>
      <c r="BS83" s="143">
        <v>18</v>
      </c>
      <c r="BT83" s="13">
        <f t="shared" si="37"/>
        <v>71</v>
      </c>
      <c r="BU83" s="62"/>
      <c r="BV83" s="143"/>
      <c r="BW83" s="13">
        <f t="shared" si="94"/>
        <v>71</v>
      </c>
      <c r="BX83" s="62"/>
      <c r="BY83" s="143">
        <f>2+5</f>
        <v>7</v>
      </c>
      <c r="BZ83" s="13">
        <f t="shared" si="38"/>
        <v>64</v>
      </c>
      <c r="CA83" s="62"/>
      <c r="CB83" s="143">
        <f>2+10</f>
        <v>12</v>
      </c>
      <c r="CC83" s="13">
        <f t="shared" si="39"/>
        <v>52</v>
      </c>
      <c r="CD83" s="62">
        <v>48</v>
      </c>
      <c r="CE83" s="143">
        <f>2+17</f>
        <v>19</v>
      </c>
      <c r="CF83" s="13">
        <f t="shared" si="40"/>
        <v>81</v>
      </c>
      <c r="CG83" s="62"/>
      <c r="CH83" s="143"/>
      <c r="CI83" s="13">
        <f t="shared" si="46"/>
        <v>81</v>
      </c>
      <c r="CJ83" s="62"/>
      <c r="CK83" s="143">
        <v>9</v>
      </c>
      <c r="CL83" s="13">
        <f t="shared" si="47"/>
        <v>72</v>
      </c>
      <c r="CM83" s="62"/>
      <c r="CN83" s="143">
        <f>2+16</f>
        <v>18</v>
      </c>
      <c r="CO83" s="13">
        <f t="shared" si="41"/>
        <v>54</v>
      </c>
      <c r="CP83" s="62"/>
      <c r="CQ83" s="143"/>
      <c r="CR83" s="13">
        <f t="shared" si="48"/>
        <v>54</v>
      </c>
      <c r="CS83" s="62"/>
      <c r="CT83" s="143">
        <v>10</v>
      </c>
      <c r="CU83" s="14">
        <f t="shared" si="42"/>
        <v>44</v>
      </c>
      <c r="CV83" s="5">
        <f>G83+J83+M83+P83+S83+V83+Y83+AB83+AE83+AH83+AK83+AN83+AQ83+AT83+AW83+AZ83+BC83+BF83+BI83+BL83+BO83+BR83+BU83+BX83+CA83+CD83+CG83+CJ83+CM83+CP83+CS83</f>
        <v>408</v>
      </c>
      <c r="CW83" s="4">
        <f>H83+K83+N83+Q83+T83+W83+Z83+AC83+AF83+AI83+AL83+AO83+AR83+AU83+AX83+BA83+BD83+BG83+BJ83+BM83+BP83+BS83+BV83+BY83+CB83+CE83+CH83+CK83+CN83+CQ83+CT83</f>
        <v>399</v>
      </c>
      <c r="CX83" s="6">
        <f t="shared" si="95"/>
        <v>44</v>
      </c>
      <c r="CY83" s="164">
        <v>0</v>
      </c>
      <c r="CZ83" s="171">
        <f t="shared" si="45"/>
        <v>0</v>
      </c>
      <c r="DB83" s="2">
        <f t="shared" si="49"/>
        <v>44</v>
      </c>
      <c r="DC83" s="62"/>
      <c r="DD83" s="143"/>
      <c r="DE83" s="149">
        <f t="shared" si="50"/>
        <v>44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143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143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143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143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143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143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143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143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143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143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118326.6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127792.72800000002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89CD0-652C-4479-9640-ADE66FE03D50}">
  <sheetPr codeName="Sheet41">
    <tabColor rgb="FF00B0F0"/>
    <pageSetUpPr fitToPage="1"/>
  </sheetPr>
  <dimension ref="A1:DE133"/>
  <sheetViews>
    <sheetView zoomScale="160" zoomScaleNormal="160" workbookViewId="0">
      <pane xSplit="5" ySplit="4" topLeftCell="CU76" activePane="bottomRight" state="frozen"/>
      <selection pane="topRight" activeCell="F1" sqref="F1"/>
      <selection pane="bottomLeft" activeCell="A5" sqref="A5"/>
      <selection pane="bottomRight" activeCell="CW82" sqref="CW82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3" width="5" style="10" hidden="1" customWidth="1"/>
    <col min="94" max="99" width="5" style="10" customWidth="1"/>
    <col min="100" max="102" width="6.33203125" style="1" customWidth="1"/>
    <col min="103" max="103" width="5.6640625" style="1" customWidth="1"/>
    <col min="104" max="104" width="7.77734375" style="1" customWidth="1"/>
    <col min="105" max="105" width="1.44140625" style="1" customWidth="1"/>
    <col min="106" max="106" width="5.4414062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6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91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7</v>
      </c>
      <c r="G6" s="62"/>
      <c r="H6" s="143"/>
      <c r="I6" s="13">
        <f t="shared" si="0"/>
        <v>7</v>
      </c>
      <c r="J6" s="62"/>
      <c r="K6" s="143"/>
      <c r="L6" s="13">
        <f t="shared" si="1"/>
        <v>7</v>
      </c>
      <c r="M6" s="62"/>
      <c r="N6" s="143">
        <v>2</v>
      </c>
      <c r="O6" s="13">
        <f t="shared" si="2"/>
        <v>5</v>
      </c>
      <c r="P6" s="62"/>
      <c r="Q6" s="143"/>
      <c r="R6" s="13">
        <f t="shared" si="3"/>
        <v>5</v>
      </c>
      <c r="S6" s="62">
        <v>10</v>
      </c>
      <c r="T6" s="143"/>
      <c r="U6" s="13">
        <f t="shared" si="4"/>
        <v>15</v>
      </c>
      <c r="V6" s="62"/>
      <c r="W6" s="143"/>
      <c r="X6" s="13">
        <f t="shared" si="5"/>
        <v>15</v>
      </c>
      <c r="Y6" s="62"/>
      <c r="Z6" s="143">
        <f>4+3+2</f>
        <v>9</v>
      </c>
      <c r="AA6" s="13">
        <f t="shared" ref="AA6:AA68" si="27">X6+Y6-Z6</f>
        <v>6</v>
      </c>
      <c r="AB6" s="62"/>
      <c r="AC6" s="143"/>
      <c r="AD6" s="13">
        <f t="shared" ref="AD6:AD68" si="28">AA6+AB6-AC6</f>
        <v>6</v>
      </c>
      <c r="AE6" s="62">
        <v>10</v>
      </c>
      <c r="AF6" s="143"/>
      <c r="AG6" s="13">
        <f t="shared" ref="AG6:AG68" si="29">AD6+AE6-AF6</f>
        <v>16</v>
      </c>
      <c r="AH6" s="62"/>
      <c r="AI6" s="143">
        <f>3+2</f>
        <v>5</v>
      </c>
      <c r="AJ6" s="13">
        <f t="shared" ref="AJ6:AJ68" si="30">AG6+AH6-AI6</f>
        <v>11</v>
      </c>
      <c r="AK6" s="62"/>
      <c r="AL6" s="143"/>
      <c r="AM6" s="13">
        <f t="shared" si="6"/>
        <v>11</v>
      </c>
      <c r="AN6" s="62"/>
      <c r="AO6" s="143"/>
      <c r="AP6" s="13">
        <f t="shared" si="7"/>
        <v>11</v>
      </c>
      <c r="AQ6" s="62"/>
      <c r="AR6" s="143">
        <f>1</f>
        <v>1</v>
      </c>
      <c r="AS6" s="13">
        <f t="shared" si="8"/>
        <v>10</v>
      </c>
      <c r="AT6" s="62"/>
      <c r="AU6" s="143">
        <v>2</v>
      </c>
      <c r="AV6" s="13">
        <f t="shared" si="9"/>
        <v>8</v>
      </c>
      <c r="AW6" s="62"/>
      <c r="AX6" s="143"/>
      <c r="AY6" s="13">
        <f t="shared" si="10"/>
        <v>8</v>
      </c>
      <c r="AZ6" s="62">
        <v>10</v>
      </c>
      <c r="BA6" s="143"/>
      <c r="BB6" s="13">
        <f t="shared" si="11"/>
        <v>18</v>
      </c>
      <c r="BC6" s="62"/>
      <c r="BD6" s="143">
        <f>4+4+1</f>
        <v>9</v>
      </c>
      <c r="BE6" s="13">
        <f t="shared" si="12"/>
        <v>9</v>
      </c>
      <c r="BF6" s="62"/>
      <c r="BG6" s="143">
        <f>2</f>
        <v>2</v>
      </c>
      <c r="BH6" s="13">
        <f t="shared" si="13"/>
        <v>7</v>
      </c>
      <c r="BI6" s="62"/>
      <c r="BJ6" s="143">
        <v>3</v>
      </c>
      <c r="BK6" s="13">
        <f t="shared" si="14"/>
        <v>4</v>
      </c>
      <c r="BL6" s="62">
        <v>10</v>
      </c>
      <c r="BM6" s="143"/>
      <c r="BN6" s="13">
        <f t="shared" si="15"/>
        <v>14</v>
      </c>
      <c r="BO6" s="62"/>
      <c r="BP6" s="143">
        <v>2</v>
      </c>
      <c r="BQ6" s="13">
        <f t="shared" si="16"/>
        <v>12</v>
      </c>
      <c r="BR6" s="62"/>
      <c r="BS6" s="143"/>
      <c r="BT6" s="13">
        <f t="shared" si="17"/>
        <v>12</v>
      </c>
      <c r="BU6" s="62"/>
      <c r="BV6" s="143">
        <f>4</f>
        <v>4</v>
      </c>
      <c r="BW6" s="13">
        <f t="shared" si="18"/>
        <v>8</v>
      </c>
      <c r="BX6" s="62">
        <v>19</v>
      </c>
      <c r="BY6" s="143">
        <f>2+3+2+1</f>
        <v>8</v>
      </c>
      <c r="BZ6" s="13">
        <f t="shared" si="19"/>
        <v>19</v>
      </c>
      <c r="CA6" s="62"/>
      <c r="CB6" s="143">
        <f>2+2+2</f>
        <v>6</v>
      </c>
      <c r="CC6" s="13">
        <f t="shared" si="20"/>
        <v>13</v>
      </c>
      <c r="CD6" s="62">
        <v>10</v>
      </c>
      <c r="CE6" s="143">
        <f>11</f>
        <v>11</v>
      </c>
      <c r="CF6" s="13">
        <f t="shared" si="21"/>
        <v>12</v>
      </c>
      <c r="CG6" s="62"/>
      <c r="CH6" s="143">
        <f>1+1</f>
        <v>2</v>
      </c>
      <c r="CI6" s="13">
        <f t="shared" ref="CI6:CI69" si="31">CF6+CG6-CH6</f>
        <v>10</v>
      </c>
      <c r="CJ6" s="62"/>
      <c r="CK6" s="143">
        <v>2</v>
      </c>
      <c r="CL6" s="13">
        <f t="shared" ref="CL6:CL69" si="32">CI6+CJ6-CK6</f>
        <v>8</v>
      </c>
      <c r="CM6" s="62"/>
      <c r="CN6" s="143"/>
      <c r="CO6" s="13">
        <f t="shared" si="22"/>
        <v>8</v>
      </c>
      <c r="CP6" s="62"/>
      <c r="CQ6" s="143"/>
      <c r="CR6" s="13">
        <f t="shared" ref="CR6:CR69" si="33">CO6+CP6-CQ6</f>
        <v>8</v>
      </c>
      <c r="CS6" s="62"/>
      <c r="CT6" s="143"/>
      <c r="CU6" s="14">
        <f t="shared" si="23"/>
        <v>8</v>
      </c>
      <c r="CV6" s="5">
        <f t="shared" si="24"/>
        <v>69</v>
      </c>
      <c r="CW6" s="4">
        <f t="shared" si="24"/>
        <v>68</v>
      </c>
      <c r="CX6" s="6">
        <f t="shared" si="25"/>
        <v>8</v>
      </c>
      <c r="CY6" s="162">
        <v>210</v>
      </c>
      <c r="CZ6" s="171">
        <f t="shared" si="26"/>
        <v>1680</v>
      </c>
      <c r="DB6" s="2">
        <f t="shared" ref="DB6:DB69" si="34">CU6</f>
        <v>8</v>
      </c>
      <c r="DC6" s="61"/>
      <c r="DD6" s="143"/>
      <c r="DE6" s="149">
        <f t="shared" ref="DE6:DE70" si="35">DC6+DB6-DD6</f>
        <v>8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22</v>
      </c>
      <c r="G8" s="62"/>
      <c r="H8" s="143"/>
      <c r="I8" s="13">
        <f t="shared" si="0"/>
        <v>22</v>
      </c>
      <c r="J8" s="62"/>
      <c r="K8" s="143">
        <v>3</v>
      </c>
      <c r="L8" s="13">
        <f t="shared" si="1"/>
        <v>19</v>
      </c>
      <c r="M8" s="62"/>
      <c r="N8" s="143">
        <v>7</v>
      </c>
      <c r="O8" s="13">
        <f t="shared" si="2"/>
        <v>12</v>
      </c>
      <c r="P8" s="62"/>
      <c r="Q8" s="143"/>
      <c r="R8" s="13">
        <f t="shared" si="3"/>
        <v>12</v>
      </c>
      <c r="S8" s="62">
        <v>20</v>
      </c>
      <c r="T8" s="143">
        <v>5</v>
      </c>
      <c r="U8" s="13">
        <f t="shared" si="4"/>
        <v>27</v>
      </c>
      <c r="V8" s="62"/>
      <c r="W8" s="143">
        <v>6</v>
      </c>
      <c r="X8" s="13">
        <f t="shared" si="5"/>
        <v>21</v>
      </c>
      <c r="Y8" s="62">
        <v>20</v>
      </c>
      <c r="Z8" s="143">
        <v>9</v>
      </c>
      <c r="AA8" s="13">
        <f t="shared" si="27"/>
        <v>32</v>
      </c>
      <c r="AB8" s="62"/>
      <c r="AC8" s="143"/>
      <c r="AD8" s="13">
        <f t="shared" si="28"/>
        <v>32</v>
      </c>
      <c r="AE8" s="62"/>
      <c r="AF8" s="143">
        <v>6</v>
      </c>
      <c r="AG8" s="13">
        <f t="shared" si="29"/>
        <v>26</v>
      </c>
      <c r="AH8" s="62"/>
      <c r="AI8" s="143">
        <v>12</v>
      </c>
      <c r="AJ8" s="13">
        <f t="shared" si="30"/>
        <v>14</v>
      </c>
      <c r="AK8" s="62"/>
      <c r="AL8" s="143"/>
      <c r="AM8" s="13">
        <f t="shared" si="6"/>
        <v>14</v>
      </c>
      <c r="AN8" s="62">
        <v>20</v>
      </c>
      <c r="AO8" s="143">
        <v>6</v>
      </c>
      <c r="AP8" s="13">
        <f t="shared" si="7"/>
        <v>28</v>
      </c>
      <c r="AQ8" s="62"/>
      <c r="AR8" s="143">
        <v>4</v>
      </c>
      <c r="AS8" s="13">
        <f t="shared" si="8"/>
        <v>24</v>
      </c>
      <c r="AT8" s="62"/>
      <c r="AU8" s="143">
        <v>6</v>
      </c>
      <c r="AV8" s="13">
        <f t="shared" si="9"/>
        <v>18</v>
      </c>
      <c r="AW8" s="62"/>
      <c r="AX8" s="143"/>
      <c r="AY8" s="13">
        <f t="shared" si="10"/>
        <v>18</v>
      </c>
      <c r="AZ8" s="62">
        <v>20</v>
      </c>
      <c r="BA8" s="143">
        <v>5</v>
      </c>
      <c r="BB8" s="13">
        <f t="shared" si="11"/>
        <v>33</v>
      </c>
      <c r="BC8" s="62"/>
      <c r="BD8" s="143">
        <v>8</v>
      </c>
      <c r="BE8" s="13">
        <f t="shared" si="12"/>
        <v>25</v>
      </c>
      <c r="BF8" s="62"/>
      <c r="BG8" s="143"/>
      <c r="BH8" s="13">
        <f t="shared" si="13"/>
        <v>25</v>
      </c>
      <c r="BI8" s="62"/>
      <c r="BJ8" s="143">
        <v>6</v>
      </c>
      <c r="BK8" s="13">
        <f t="shared" si="14"/>
        <v>19</v>
      </c>
      <c r="BL8" s="62"/>
      <c r="BM8" s="143">
        <v>3</v>
      </c>
      <c r="BN8" s="13">
        <f t="shared" si="15"/>
        <v>16</v>
      </c>
      <c r="BO8" s="62">
        <v>20</v>
      </c>
      <c r="BP8" s="143">
        <v>7</v>
      </c>
      <c r="BQ8" s="13">
        <f t="shared" si="16"/>
        <v>29</v>
      </c>
      <c r="BR8" s="62"/>
      <c r="BS8" s="143"/>
      <c r="BT8" s="13">
        <f t="shared" si="17"/>
        <v>29</v>
      </c>
      <c r="BU8" s="62"/>
      <c r="BV8" s="143">
        <v>6</v>
      </c>
      <c r="BW8" s="13">
        <f t="shared" si="18"/>
        <v>23</v>
      </c>
      <c r="BX8" s="62"/>
      <c r="BY8" s="143">
        <v>8</v>
      </c>
      <c r="BZ8" s="13">
        <f t="shared" si="19"/>
        <v>15</v>
      </c>
      <c r="CA8" s="62"/>
      <c r="CB8" s="143"/>
      <c r="CC8" s="13">
        <f t="shared" si="20"/>
        <v>15</v>
      </c>
      <c r="CD8" s="62">
        <v>20</v>
      </c>
      <c r="CE8" s="143">
        <v>6</v>
      </c>
      <c r="CF8" s="13">
        <f t="shared" si="21"/>
        <v>29</v>
      </c>
      <c r="CG8" s="62"/>
      <c r="CH8" s="143">
        <v>3</v>
      </c>
      <c r="CI8" s="13">
        <f t="shared" si="31"/>
        <v>26</v>
      </c>
      <c r="CJ8" s="62"/>
      <c r="CK8" s="143">
        <v>12</v>
      </c>
      <c r="CL8" s="13">
        <f t="shared" si="32"/>
        <v>14</v>
      </c>
      <c r="CM8" s="62"/>
      <c r="CN8" s="143"/>
      <c r="CO8" s="13">
        <f t="shared" si="22"/>
        <v>14</v>
      </c>
      <c r="CP8" s="62"/>
      <c r="CQ8" s="143">
        <v>4</v>
      </c>
      <c r="CR8" s="13">
        <f t="shared" si="33"/>
        <v>10</v>
      </c>
      <c r="CS8" s="62"/>
      <c r="CT8" s="143"/>
      <c r="CU8" s="14">
        <f t="shared" si="23"/>
        <v>10</v>
      </c>
      <c r="CV8" s="5">
        <f t="shared" si="24"/>
        <v>120</v>
      </c>
      <c r="CW8" s="4">
        <f t="shared" si="24"/>
        <v>132</v>
      </c>
      <c r="CX8" s="6">
        <f t="shared" si="25"/>
        <v>10</v>
      </c>
      <c r="CY8" s="162">
        <v>125</v>
      </c>
      <c r="CZ8" s="171">
        <f t="shared" si="26"/>
        <v>1250</v>
      </c>
      <c r="DB8" s="2">
        <f t="shared" si="34"/>
        <v>10</v>
      </c>
      <c r="DC8" s="61"/>
      <c r="DD8" s="143"/>
      <c r="DE8" s="149">
        <f t="shared" si="35"/>
        <v>10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4</v>
      </c>
      <c r="G12" s="62"/>
      <c r="H12" s="143"/>
      <c r="I12" s="13">
        <f t="shared" si="0"/>
        <v>4</v>
      </c>
      <c r="J12" s="62">
        <f>-36-18+40+60+2</f>
        <v>48</v>
      </c>
      <c r="K12" s="143">
        <v>4</v>
      </c>
      <c r="L12" s="13">
        <f t="shared" si="1"/>
        <v>48</v>
      </c>
      <c r="M12" s="62">
        <f>-27+20+40</f>
        <v>33</v>
      </c>
      <c r="N12" s="143">
        <f>7+41</f>
        <v>48</v>
      </c>
      <c r="O12" s="13">
        <f t="shared" si="2"/>
        <v>33</v>
      </c>
      <c r="P12" s="62"/>
      <c r="Q12" s="143"/>
      <c r="R12" s="13">
        <f t="shared" si="3"/>
        <v>33</v>
      </c>
      <c r="S12" s="62">
        <f>-16+20+40</f>
        <v>44</v>
      </c>
      <c r="T12" s="143">
        <f>5+28</f>
        <v>33</v>
      </c>
      <c r="U12" s="13">
        <f t="shared" si="4"/>
        <v>44</v>
      </c>
      <c r="V12" s="62">
        <v>40</v>
      </c>
      <c r="W12" s="143">
        <f>24</f>
        <v>24</v>
      </c>
      <c r="X12" s="13">
        <f t="shared" si="5"/>
        <v>60</v>
      </c>
      <c r="Y12" s="62">
        <f>-9+20+20</f>
        <v>31</v>
      </c>
      <c r="Z12" s="143">
        <f>8+52</f>
        <v>60</v>
      </c>
      <c r="AA12" s="13">
        <f t="shared" si="27"/>
        <v>31</v>
      </c>
      <c r="AB12" s="62"/>
      <c r="AC12" s="143"/>
      <c r="AD12" s="13">
        <f t="shared" si="28"/>
        <v>31</v>
      </c>
      <c r="AE12" s="62">
        <f>40+20</f>
        <v>60</v>
      </c>
      <c r="AF12" s="143">
        <f>4+26</f>
        <v>30</v>
      </c>
      <c r="AG12" s="13">
        <f t="shared" si="29"/>
        <v>61</v>
      </c>
      <c r="AH12" s="62">
        <v>40</v>
      </c>
      <c r="AI12" s="143">
        <f>8+49</f>
        <v>57</v>
      </c>
      <c r="AJ12" s="13">
        <f t="shared" si="30"/>
        <v>44</v>
      </c>
      <c r="AK12" s="62"/>
      <c r="AL12" s="143"/>
      <c r="AM12" s="13">
        <f t="shared" si="6"/>
        <v>44</v>
      </c>
      <c r="AN12" s="62">
        <v>20</v>
      </c>
      <c r="AO12" s="143">
        <f>4+29</f>
        <v>33</v>
      </c>
      <c r="AP12" s="13">
        <f t="shared" si="7"/>
        <v>31</v>
      </c>
      <c r="AQ12" s="62">
        <f>-7+20+60</f>
        <v>73</v>
      </c>
      <c r="AR12" s="143">
        <v>31</v>
      </c>
      <c r="AS12" s="13">
        <f t="shared" si="8"/>
        <v>73</v>
      </c>
      <c r="AT12" s="62">
        <f>-12+20+40</f>
        <v>48</v>
      </c>
      <c r="AU12" s="143">
        <f>8+65</f>
        <v>73</v>
      </c>
      <c r="AV12" s="13">
        <f t="shared" si="9"/>
        <v>48</v>
      </c>
      <c r="AW12" s="62"/>
      <c r="AX12" s="143"/>
      <c r="AY12" s="13">
        <f t="shared" si="10"/>
        <v>48</v>
      </c>
      <c r="AZ12" s="62">
        <v>20</v>
      </c>
      <c r="BA12" s="143">
        <f>4+26</f>
        <v>30</v>
      </c>
      <c r="BB12" s="13">
        <f t="shared" si="11"/>
        <v>38</v>
      </c>
      <c r="BC12" s="62">
        <f>-27+40+30</f>
        <v>43</v>
      </c>
      <c r="BD12" s="143">
        <f>5+33</f>
        <v>38</v>
      </c>
      <c r="BE12" s="13">
        <f t="shared" si="12"/>
        <v>43</v>
      </c>
      <c r="BF12" s="62"/>
      <c r="BG12" s="143"/>
      <c r="BH12" s="13">
        <f t="shared" si="13"/>
        <v>43</v>
      </c>
      <c r="BI12" s="62">
        <f>-6+40+20</f>
        <v>54</v>
      </c>
      <c r="BJ12" s="143">
        <f>4+39</f>
        <v>43</v>
      </c>
      <c r="BK12" s="13">
        <f t="shared" si="14"/>
        <v>54</v>
      </c>
      <c r="BL12" s="62">
        <f>20+40</f>
        <v>60</v>
      </c>
      <c r="BM12" s="143">
        <f>4+41</f>
        <v>45</v>
      </c>
      <c r="BN12" s="13">
        <f t="shared" si="15"/>
        <v>69</v>
      </c>
      <c r="BO12" s="62">
        <v>40</v>
      </c>
      <c r="BP12" s="143">
        <f>6+36+24</f>
        <v>66</v>
      </c>
      <c r="BQ12" s="13">
        <f t="shared" si="16"/>
        <v>43</v>
      </c>
      <c r="BR12" s="62"/>
      <c r="BS12" s="143"/>
      <c r="BT12" s="13">
        <f t="shared" si="17"/>
        <v>43</v>
      </c>
      <c r="BU12" s="62">
        <v>40</v>
      </c>
      <c r="BV12" s="143">
        <f>4+31+2</f>
        <v>37</v>
      </c>
      <c r="BW12" s="13">
        <f t="shared" si="18"/>
        <v>46</v>
      </c>
      <c r="BX12" s="62">
        <f>-9+60</f>
        <v>51</v>
      </c>
      <c r="BY12" s="143">
        <f>9+37</f>
        <v>46</v>
      </c>
      <c r="BZ12" s="13">
        <f t="shared" si="19"/>
        <v>51</v>
      </c>
      <c r="CA12" s="62"/>
      <c r="CB12" s="143"/>
      <c r="CC12" s="13">
        <f t="shared" si="20"/>
        <v>51</v>
      </c>
      <c r="CD12" s="62">
        <v>38</v>
      </c>
      <c r="CE12" s="143">
        <f>5+43</f>
        <v>48</v>
      </c>
      <c r="CF12" s="13">
        <f t="shared" si="21"/>
        <v>41</v>
      </c>
      <c r="CG12" s="62">
        <f>-15+60+20</f>
        <v>65</v>
      </c>
      <c r="CH12" s="143">
        <f>5+36</f>
        <v>41</v>
      </c>
      <c r="CI12" s="13">
        <f t="shared" si="31"/>
        <v>65</v>
      </c>
      <c r="CJ12" s="62">
        <f>-15+40+20</f>
        <v>45</v>
      </c>
      <c r="CK12" s="143">
        <f>12+53</f>
        <v>65</v>
      </c>
      <c r="CL12" s="13">
        <f t="shared" si="32"/>
        <v>45</v>
      </c>
      <c r="CM12" s="62"/>
      <c r="CN12" s="143"/>
      <c r="CO12" s="13">
        <f t="shared" si="22"/>
        <v>45</v>
      </c>
      <c r="CP12" s="62">
        <f>-16+20+20</f>
        <v>24</v>
      </c>
      <c r="CQ12" s="143">
        <f>4+41</f>
        <v>45</v>
      </c>
      <c r="CR12" s="13">
        <f t="shared" si="33"/>
        <v>24</v>
      </c>
      <c r="CS12" s="62"/>
      <c r="CT12" s="143"/>
      <c r="CU12" s="14">
        <f t="shared" si="23"/>
        <v>24</v>
      </c>
      <c r="CV12" s="5">
        <f t="shared" si="24"/>
        <v>917</v>
      </c>
      <c r="CW12" s="4">
        <f t="shared" si="24"/>
        <v>897</v>
      </c>
      <c r="CX12" s="6">
        <f t="shared" si="25"/>
        <v>24</v>
      </c>
      <c r="CY12" s="162">
        <v>45</v>
      </c>
      <c r="CZ12" s="171">
        <f t="shared" si="26"/>
        <v>1080</v>
      </c>
      <c r="DB12" s="2">
        <f t="shared" si="34"/>
        <v>24</v>
      </c>
      <c r="DC12" s="61"/>
      <c r="DD12" s="143"/>
      <c r="DE12" s="149">
        <f t="shared" si="35"/>
        <v>24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3.5</v>
      </c>
      <c r="G13" s="62"/>
      <c r="H13" s="143"/>
      <c r="I13" s="13">
        <f t="shared" si="0"/>
        <v>3.5</v>
      </c>
      <c r="J13" s="62">
        <v>6</v>
      </c>
      <c r="K13" s="143">
        <f>0.75</f>
        <v>0.75</v>
      </c>
      <c r="L13" s="13">
        <f t="shared" si="1"/>
        <v>8.75</v>
      </c>
      <c r="M13" s="62"/>
      <c r="N13" s="143"/>
      <c r="O13" s="13">
        <f t="shared" si="2"/>
        <v>8.75</v>
      </c>
      <c r="P13" s="62"/>
      <c r="Q13" s="143"/>
      <c r="R13" s="30">
        <f t="shared" si="3"/>
        <v>8.75</v>
      </c>
      <c r="S13" s="62"/>
      <c r="T13" s="143">
        <f>1</f>
        <v>1</v>
      </c>
      <c r="U13" s="13">
        <f t="shared" si="4"/>
        <v>7.75</v>
      </c>
      <c r="V13" s="62"/>
      <c r="W13" s="143"/>
      <c r="X13" s="13">
        <f t="shared" si="5"/>
        <v>7.75</v>
      </c>
      <c r="Y13" s="62">
        <v>6</v>
      </c>
      <c r="Z13" s="143">
        <f>2.25+1+1+1+3</f>
        <v>8.25</v>
      </c>
      <c r="AA13" s="13">
        <f t="shared" si="27"/>
        <v>5.5</v>
      </c>
      <c r="AB13" s="62"/>
      <c r="AC13" s="143"/>
      <c r="AD13" s="13">
        <f t="shared" si="28"/>
        <v>5.5</v>
      </c>
      <c r="AE13" s="62">
        <v>6</v>
      </c>
      <c r="AF13" s="143"/>
      <c r="AG13" s="13">
        <f t="shared" si="29"/>
        <v>11.5</v>
      </c>
      <c r="AH13" s="62">
        <v>6</v>
      </c>
      <c r="AI13" s="143">
        <f>1.5+1</f>
        <v>2.5</v>
      </c>
      <c r="AJ13" s="13">
        <f t="shared" si="30"/>
        <v>15</v>
      </c>
      <c r="AK13" s="62"/>
      <c r="AL13" s="143"/>
      <c r="AM13" s="13">
        <f t="shared" si="6"/>
        <v>15</v>
      </c>
      <c r="AN13" s="62"/>
      <c r="AO13" s="143">
        <f>1+1.75+1.25+1.5+2</f>
        <v>7.5</v>
      </c>
      <c r="AP13" s="13">
        <f t="shared" si="7"/>
        <v>7.5</v>
      </c>
      <c r="AQ13" s="62">
        <v>5</v>
      </c>
      <c r="AR13" s="143">
        <f>2</f>
        <v>2</v>
      </c>
      <c r="AS13" s="13">
        <f t="shared" si="8"/>
        <v>10.5</v>
      </c>
      <c r="AT13" s="62"/>
      <c r="AU13" s="143">
        <f>4</f>
        <v>4</v>
      </c>
      <c r="AV13" s="13">
        <f t="shared" si="9"/>
        <v>6.5</v>
      </c>
      <c r="AW13" s="62"/>
      <c r="AX13" s="143"/>
      <c r="AY13" s="13">
        <f t="shared" si="10"/>
        <v>6.5</v>
      </c>
      <c r="AZ13" s="62"/>
      <c r="BA13" s="143">
        <v>1</v>
      </c>
      <c r="BB13" s="13">
        <f t="shared" si="11"/>
        <v>5.5</v>
      </c>
      <c r="BC13" s="62">
        <v>6</v>
      </c>
      <c r="BD13" s="143">
        <v>1</v>
      </c>
      <c r="BE13" s="13">
        <f t="shared" si="12"/>
        <v>10.5</v>
      </c>
      <c r="BF13" s="62"/>
      <c r="BG13" s="143">
        <f>1+1.25+1.75+2</f>
        <v>6</v>
      </c>
      <c r="BH13" s="13">
        <f t="shared" si="13"/>
        <v>4.5</v>
      </c>
      <c r="BI13" s="62">
        <v>6</v>
      </c>
      <c r="BJ13" s="143">
        <v>1</v>
      </c>
      <c r="BK13" s="13">
        <f t="shared" si="14"/>
        <v>9.5</v>
      </c>
      <c r="BL13" s="62">
        <v>7</v>
      </c>
      <c r="BM13" s="143"/>
      <c r="BN13" s="13">
        <f t="shared" si="15"/>
        <v>16.5</v>
      </c>
      <c r="BO13" s="62"/>
      <c r="BP13" s="143">
        <f>1+2.5+2+1</f>
        <v>6.5</v>
      </c>
      <c r="BQ13" s="13">
        <f t="shared" si="16"/>
        <v>10</v>
      </c>
      <c r="BR13" s="62"/>
      <c r="BS13" s="143"/>
      <c r="BT13" s="13">
        <f t="shared" si="17"/>
        <v>10</v>
      </c>
      <c r="BU13" s="62"/>
      <c r="BV13" s="143">
        <v>2.5</v>
      </c>
      <c r="BW13" s="13">
        <f t="shared" si="18"/>
        <v>7.5</v>
      </c>
      <c r="BX13" s="62"/>
      <c r="BY13" s="143">
        <f>1.5+1</f>
        <v>2.5</v>
      </c>
      <c r="BZ13" s="13">
        <f t="shared" si="19"/>
        <v>5</v>
      </c>
      <c r="CA13" s="62"/>
      <c r="CB13" s="143"/>
      <c r="CC13" s="13">
        <f t="shared" si="20"/>
        <v>5</v>
      </c>
      <c r="CD13" s="62">
        <v>6</v>
      </c>
      <c r="CE13" s="143">
        <f>1+0.5</f>
        <v>1.5</v>
      </c>
      <c r="CF13" s="13">
        <f t="shared" si="21"/>
        <v>9.5</v>
      </c>
      <c r="CG13" s="62"/>
      <c r="CH13" s="143">
        <f>2.5</f>
        <v>2.5</v>
      </c>
      <c r="CI13" s="13">
        <f>CF13+CG13-CH13</f>
        <v>7</v>
      </c>
      <c r="CJ13" s="62"/>
      <c r="CK13" s="143">
        <f>1</f>
        <v>1</v>
      </c>
      <c r="CL13" s="13">
        <f>CI13+CJ13-CK13</f>
        <v>6</v>
      </c>
      <c r="CM13" s="62"/>
      <c r="CN13" s="143"/>
      <c r="CO13" s="13">
        <f t="shared" si="22"/>
        <v>6</v>
      </c>
      <c r="CP13" s="62"/>
      <c r="CQ13" s="143">
        <f>2</f>
        <v>2</v>
      </c>
      <c r="CR13" s="13">
        <f t="shared" si="33"/>
        <v>4</v>
      </c>
      <c r="CS13" s="62"/>
      <c r="CT13" s="143"/>
      <c r="CU13" s="14">
        <f t="shared" si="23"/>
        <v>4</v>
      </c>
      <c r="CV13" s="5">
        <f t="shared" si="24"/>
        <v>54</v>
      </c>
      <c r="CW13" s="4">
        <f t="shared" si="24"/>
        <v>53.5</v>
      </c>
      <c r="CX13" s="6">
        <f t="shared" si="25"/>
        <v>4</v>
      </c>
      <c r="CY13" s="162">
        <v>560</v>
      </c>
      <c r="CZ13" s="171">
        <f t="shared" si="26"/>
        <v>2240</v>
      </c>
      <c r="DB13" s="2">
        <f t="shared" si="34"/>
        <v>4</v>
      </c>
      <c r="DC13" s="61"/>
      <c r="DD13" s="143"/>
      <c r="DE13" s="149">
        <f t="shared" si="35"/>
        <v>4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24</v>
      </c>
      <c r="G14" s="62"/>
      <c r="H14" s="143"/>
      <c r="I14" s="13">
        <f t="shared" si="0"/>
        <v>24</v>
      </c>
      <c r="J14" s="62">
        <v>24</v>
      </c>
      <c r="K14" s="143">
        <f>1+1+1+1+1+1+2+1+1+4</f>
        <v>14</v>
      </c>
      <c r="L14" s="13">
        <f t="shared" si="1"/>
        <v>34</v>
      </c>
      <c r="M14" s="62">
        <v>16</v>
      </c>
      <c r="N14" s="143">
        <f>3+3+1+1+13+0.5</f>
        <v>21.5</v>
      </c>
      <c r="O14" s="13">
        <f t="shared" si="2"/>
        <v>28.5</v>
      </c>
      <c r="P14" s="62"/>
      <c r="Q14" s="143">
        <f>2</f>
        <v>2</v>
      </c>
      <c r="R14" s="30">
        <f t="shared" si="3"/>
        <v>26.5</v>
      </c>
      <c r="S14" s="62">
        <v>8</v>
      </c>
      <c r="T14" s="143">
        <f>3+1+7</f>
        <v>11</v>
      </c>
      <c r="U14" s="13">
        <f t="shared" si="4"/>
        <v>23.5</v>
      </c>
      <c r="V14" s="62">
        <v>16</v>
      </c>
      <c r="W14" s="143">
        <f>0.5+0.5+0.5+0.5+6</f>
        <v>8</v>
      </c>
      <c r="X14" s="13">
        <f t="shared" si="5"/>
        <v>31.5</v>
      </c>
      <c r="Y14" s="62">
        <v>16</v>
      </c>
      <c r="Z14" s="143">
        <f>2+2+1+1.5+1+13+2+1+2+1+1</f>
        <v>27.5</v>
      </c>
      <c r="AA14" s="13">
        <f t="shared" si="27"/>
        <v>20</v>
      </c>
      <c r="AB14" s="62"/>
      <c r="AC14" s="143"/>
      <c r="AD14" s="13">
        <f t="shared" si="28"/>
        <v>20</v>
      </c>
      <c r="AE14" s="62">
        <v>16</v>
      </c>
      <c r="AF14" s="143">
        <f>9</f>
        <v>9</v>
      </c>
      <c r="AG14" s="13">
        <f t="shared" si="29"/>
        <v>27</v>
      </c>
      <c r="AH14" s="62">
        <v>24</v>
      </c>
      <c r="AI14" s="143">
        <f>3+1+1.5+1.5+1+12</f>
        <v>20</v>
      </c>
      <c r="AJ14" s="13">
        <f t="shared" si="30"/>
        <v>31</v>
      </c>
      <c r="AK14" s="62"/>
      <c r="AL14" s="143">
        <f>3.5+0.5+0.5</f>
        <v>4.5</v>
      </c>
      <c r="AM14" s="13">
        <f t="shared" si="6"/>
        <v>26.5</v>
      </c>
      <c r="AN14" s="62">
        <v>16</v>
      </c>
      <c r="AO14" s="143">
        <f>2+8+1.5+1.5+2+1</f>
        <v>16</v>
      </c>
      <c r="AP14" s="13">
        <f t="shared" si="7"/>
        <v>26.5</v>
      </c>
      <c r="AQ14" s="62">
        <v>16</v>
      </c>
      <c r="AR14" s="143">
        <f>2+0.5+8+2</f>
        <v>12.5</v>
      </c>
      <c r="AS14" s="13">
        <f t="shared" si="8"/>
        <v>30</v>
      </c>
      <c r="AT14" s="62">
        <v>8</v>
      </c>
      <c r="AU14" s="143">
        <f>3+1.5+14</f>
        <v>18.5</v>
      </c>
      <c r="AV14" s="13">
        <f t="shared" si="9"/>
        <v>19.5</v>
      </c>
      <c r="AW14" s="62"/>
      <c r="AX14" s="143"/>
      <c r="AY14" s="180">
        <f t="shared" si="10"/>
        <v>19.5</v>
      </c>
      <c r="AZ14" s="62">
        <v>16</v>
      </c>
      <c r="BA14" s="143">
        <f>1+1.5+9</f>
        <v>11.5</v>
      </c>
      <c r="BB14" s="13">
        <f t="shared" si="11"/>
        <v>24</v>
      </c>
      <c r="BC14" s="62">
        <v>24</v>
      </c>
      <c r="BD14" s="143">
        <f>1.5+0.5+1+10</f>
        <v>13</v>
      </c>
      <c r="BE14" s="13">
        <f t="shared" si="12"/>
        <v>35</v>
      </c>
      <c r="BF14" s="62"/>
      <c r="BG14" s="143">
        <f>2+3+1.5+1</f>
        <v>7.5</v>
      </c>
      <c r="BH14" s="13">
        <f t="shared" si="13"/>
        <v>27.5</v>
      </c>
      <c r="BI14" s="62">
        <v>16</v>
      </c>
      <c r="BJ14" s="143">
        <f>13+1+1+1+2</f>
        <v>18</v>
      </c>
      <c r="BK14" s="13">
        <f t="shared" si="14"/>
        <v>25.5</v>
      </c>
      <c r="BL14" s="62">
        <v>24</v>
      </c>
      <c r="BM14" s="143">
        <f>0.5+0.5+0.5+0.5+7</f>
        <v>9</v>
      </c>
      <c r="BN14" s="13">
        <f t="shared" si="15"/>
        <v>40.5</v>
      </c>
      <c r="BO14" s="62">
        <v>16</v>
      </c>
      <c r="BP14" s="143">
        <f>4+2+2+16</f>
        <v>24</v>
      </c>
      <c r="BQ14" s="13">
        <f t="shared" si="16"/>
        <v>32.5</v>
      </c>
      <c r="BR14" s="62"/>
      <c r="BS14" s="143"/>
      <c r="BT14" s="13">
        <f t="shared" si="17"/>
        <v>32.5</v>
      </c>
      <c r="BU14" s="62">
        <v>16</v>
      </c>
      <c r="BV14" s="143">
        <f>3+2+1+1+1+3+15</f>
        <v>26</v>
      </c>
      <c r="BW14" s="13">
        <f t="shared" si="18"/>
        <v>22.5</v>
      </c>
      <c r="BX14" s="62">
        <v>16</v>
      </c>
      <c r="BY14" s="143">
        <f>15+1+2</f>
        <v>18</v>
      </c>
      <c r="BZ14" s="13">
        <f t="shared" si="19"/>
        <v>20.5</v>
      </c>
      <c r="CA14" s="62"/>
      <c r="CB14" s="143">
        <f>2+1+1.5+1+2+0.5</f>
        <v>8</v>
      </c>
      <c r="CC14" s="13">
        <f t="shared" si="20"/>
        <v>12.5</v>
      </c>
      <c r="CD14" s="62">
        <v>24</v>
      </c>
      <c r="CE14" s="143">
        <f>12</f>
        <v>12</v>
      </c>
      <c r="CF14" s="13">
        <f t="shared" si="21"/>
        <v>24.5</v>
      </c>
      <c r="CG14" s="62">
        <v>24</v>
      </c>
      <c r="CH14" s="143">
        <f>0.5+3+10</f>
        <v>13.5</v>
      </c>
      <c r="CI14" s="13">
        <f t="shared" si="31"/>
        <v>35</v>
      </c>
      <c r="CJ14" s="62">
        <v>16</v>
      </c>
      <c r="CK14" s="143">
        <f>2+1+22</f>
        <v>25</v>
      </c>
      <c r="CL14" s="13">
        <f t="shared" si="32"/>
        <v>26</v>
      </c>
      <c r="CM14" s="62"/>
      <c r="CN14" s="143"/>
      <c r="CO14" s="13">
        <f t="shared" si="22"/>
        <v>26</v>
      </c>
      <c r="CP14" s="62">
        <v>8</v>
      </c>
      <c r="CQ14" s="143">
        <f>1+2+1+0.5+13</f>
        <v>17.5</v>
      </c>
      <c r="CR14" s="13">
        <f t="shared" si="33"/>
        <v>16.5</v>
      </c>
      <c r="CS14" s="62"/>
      <c r="CT14" s="143"/>
      <c r="CU14" s="14">
        <f t="shared" si="23"/>
        <v>16.5</v>
      </c>
      <c r="CV14" s="5">
        <f t="shared" si="24"/>
        <v>360</v>
      </c>
      <c r="CW14" s="4">
        <f t="shared" si="24"/>
        <v>367.5</v>
      </c>
      <c r="CX14" s="6">
        <f t="shared" si="25"/>
        <v>16.5</v>
      </c>
      <c r="CY14" s="162">
        <v>125</v>
      </c>
      <c r="CZ14" s="171">
        <f t="shared" si="26"/>
        <v>2062.5</v>
      </c>
      <c r="DB14" s="2">
        <f t="shared" si="34"/>
        <v>16.5</v>
      </c>
      <c r="DC14" s="61"/>
      <c r="DD14" s="143"/>
      <c r="DE14" s="149">
        <f t="shared" si="35"/>
        <v>16.5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83</v>
      </c>
      <c r="G15" s="62"/>
      <c r="H15" s="143"/>
      <c r="I15" s="13">
        <f t="shared" si="0"/>
        <v>83</v>
      </c>
      <c r="J15" s="62">
        <v>45</v>
      </c>
      <c r="K15" s="143">
        <f>9+7+9+6+9+4+4</f>
        <v>48</v>
      </c>
      <c r="L15" s="13">
        <f t="shared" si="1"/>
        <v>80</v>
      </c>
      <c r="M15" s="62">
        <v>45</v>
      </c>
      <c r="N15" s="143">
        <f>20+7+9+7+4</f>
        <v>47</v>
      </c>
      <c r="O15" s="13">
        <f t="shared" si="2"/>
        <v>78</v>
      </c>
      <c r="P15" s="62"/>
      <c r="Q15" s="143">
        <f>10+8+5</f>
        <v>23</v>
      </c>
      <c r="R15" s="30">
        <f t="shared" si="3"/>
        <v>55</v>
      </c>
      <c r="S15" s="62">
        <v>45</v>
      </c>
      <c r="T15" s="143">
        <f>20+5+4+4+2</f>
        <v>35</v>
      </c>
      <c r="U15" s="13">
        <f t="shared" si="4"/>
        <v>65</v>
      </c>
      <c r="V15" s="62"/>
      <c r="W15" s="143">
        <f>1+1</f>
        <v>2</v>
      </c>
      <c r="X15" s="13">
        <f t="shared" si="5"/>
        <v>63</v>
      </c>
      <c r="Y15" s="62">
        <v>45</v>
      </c>
      <c r="Z15" s="143">
        <f>20+7+7+2+7+9+10+9+9+5</f>
        <v>85</v>
      </c>
      <c r="AA15" s="13">
        <f t="shared" si="27"/>
        <v>23</v>
      </c>
      <c r="AB15" s="62"/>
      <c r="AC15" s="143"/>
      <c r="AD15" s="13">
        <f t="shared" si="28"/>
        <v>23</v>
      </c>
      <c r="AE15" s="62">
        <v>90</v>
      </c>
      <c r="AF15" s="143"/>
      <c r="AG15" s="13">
        <f t="shared" si="29"/>
        <v>113</v>
      </c>
      <c r="AH15" s="62">
        <v>45</v>
      </c>
      <c r="AI15" s="143">
        <f>30+9+8+1</f>
        <v>48</v>
      </c>
      <c r="AJ15" s="13">
        <f t="shared" si="30"/>
        <v>110</v>
      </c>
      <c r="AK15" s="62"/>
      <c r="AL15" s="143">
        <f>9+10+5+6</f>
        <v>30</v>
      </c>
      <c r="AM15" s="13">
        <f t="shared" si="6"/>
        <v>80</v>
      </c>
      <c r="AN15" s="62"/>
      <c r="AO15" s="143">
        <f>20+9+5</f>
        <v>34</v>
      </c>
      <c r="AP15" s="13">
        <f t="shared" si="7"/>
        <v>46</v>
      </c>
      <c r="AQ15" s="62">
        <v>45</v>
      </c>
      <c r="AR15" s="143">
        <f>1+1+1+2+2</f>
        <v>7</v>
      </c>
      <c r="AS15" s="13">
        <f t="shared" si="8"/>
        <v>84</v>
      </c>
      <c r="AT15" s="62">
        <v>45</v>
      </c>
      <c r="AU15" s="143">
        <f>20+7+2</f>
        <v>29</v>
      </c>
      <c r="AV15" s="13">
        <f t="shared" si="9"/>
        <v>100</v>
      </c>
      <c r="AW15" s="62"/>
      <c r="AX15" s="143"/>
      <c r="AY15" s="13">
        <f t="shared" si="10"/>
        <v>100</v>
      </c>
      <c r="AZ15" s="64">
        <v>12</v>
      </c>
      <c r="BA15" s="143">
        <f>7+4+9+2+2</f>
        <v>24</v>
      </c>
      <c r="BB15" s="13">
        <f t="shared" si="11"/>
        <v>88</v>
      </c>
      <c r="BC15" s="62"/>
      <c r="BD15" s="143">
        <f>8+9+7+5+3</f>
        <v>32</v>
      </c>
      <c r="BE15" s="13">
        <f t="shared" si="12"/>
        <v>56</v>
      </c>
      <c r="BF15" s="62"/>
      <c r="BG15" s="143">
        <f>10+7+7</f>
        <v>24</v>
      </c>
      <c r="BH15" s="13">
        <f t="shared" si="13"/>
        <v>32</v>
      </c>
      <c r="BI15" s="62">
        <v>45</v>
      </c>
      <c r="BJ15" s="143">
        <v>32</v>
      </c>
      <c r="BK15" s="13">
        <f t="shared" si="14"/>
        <v>45</v>
      </c>
      <c r="BL15" s="62">
        <v>45</v>
      </c>
      <c r="BM15" s="143">
        <f>1+1+1+1+2</f>
        <v>6</v>
      </c>
      <c r="BN15" s="13">
        <f t="shared" si="15"/>
        <v>84</v>
      </c>
      <c r="BO15" s="62">
        <v>30</v>
      </c>
      <c r="BP15" s="143">
        <f>20+11+4</f>
        <v>35</v>
      </c>
      <c r="BQ15" s="13">
        <f t="shared" si="16"/>
        <v>79</v>
      </c>
      <c r="BR15" s="62"/>
      <c r="BS15" s="143"/>
      <c r="BT15" s="13">
        <f t="shared" si="17"/>
        <v>79</v>
      </c>
      <c r="BU15" s="62">
        <v>45</v>
      </c>
      <c r="BV15" s="143">
        <f>9+9+10</f>
        <v>28</v>
      </c>
      <c r="BW15" s="13">
        <f t="shared" si="18"/>
        <v>96</v>
      </c>
      <c r="BX15" s="62">
        <v>45</v>
      </c>
      <c r="BY15" s="143">
        <f>9+4+7+9+8+10+5+1+3</f>
        <v>56</v>
      </c>
      <c r="BZ15" s="13">
        <f t="shared" si="19"/>
        <v>85</v>
      </c>
      <c r="CA15" s="62"/>
      <c r="CB15" s="143">
        <f>9+12+30+9</f>
        <v>60</v>
      </c>
      <c r="CC15" s="13">
        <f t="shared" si="20"/>
        <v>25</v>
      </c>
      <c r="CD15" s="62">
        <v>45</v>
      </c>
      <c r="CE15" s="143">
        <f>7+7+4</f>
        <v>18</v>
      </c>
      <c r="CF15" s="13">
        <f t="shared" si="21"/>
        <v>52</v>
      </c>
      <c r="CG15" s="62">
        <v>45</v>
      </c>
      <c r="CH15" s="143">
        <f>1+2+2+2+1+2</f>
        <v>10</v>
      </c>
      <c r="CI15" s="13">
        <f t="shared" si="31"/>
        <v>87</v>
      </c>
      <c r="CJ15" s="62">
        <v>15</v>
      </c>
      <c r="CK15" s="143">
        <f>20+4</f>
        <v>24</v>
      </c>
      <c r="CL15" s="13">
        <f t="shared" si="32"/>
        <v>78</v>
      </c>
      <c r="CM15" s="62"/>
      <c r="CN15" s="143"/>
      <c r="CO15" s="13">
        <f t="shared" si="22"/>
        <v>78</v>
      </c>
      <c r="CP15" s="62">
        <v>10</v>
      </c>
      <c r="CQ15" s="143">
        <f>2+3+6+12+5</f>
        <v>28</v>
      </c>
      <c r="CR15" s="13">
        <f t="shared" si="33"/>
        <v>60</v>
      </c>
      <c r="CS15" s="62"/>
      <c r="CT15" s="143"/>
      <c r="CU15" s="14">
        <f t="shared" si="23"/>
        <v>60</v>
      </c>
      <c r="CV15" s="5">
        <f t="shared" si="24"/>
        <v>742</v>
      </c>
      <c r="CW15" s="4">
        <f t="shared" si="24"/>
        <v>765</v>
      </c>
      <c r="CX15" s="6">
        <f t="shared" si="25"/>
        <v>60</v>
      </c>
      <c r="CY15" s="162">
        <v>56</v>
      </c>
      <c r="CZ15" s="171">
        <f t="shared" si="26"/>
        <v>3360</v>
      </c>
      <c r="DB15" s="2">
        <f t="shared" si="34"/>
        <v>60</v>
      </c>
      <c r="DC15" s="61"/>
      <c r="DD15" s="143"/>
      <c r="DE15" s="149">
        <f t="shared" si="35"/>
        <v>60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20</v>
      </c>
      <c r="E16" s="34" t="s">
        <v>41</v>
      </c>
      <c r="F16" s="14">
        <v>40</v>
      </c>
      <c r="G16" s="176"/>
      <c r="H16" s="143"/>
      <c r="I16" s="13">
        <f t="shared" si="0"/>
        <v>40</v>
      </c>
      <c r="J16" s="176">
        <v>20</v>
      </c>
      <c r="K16" s="143">
        <f>15+4+4+3+4</f>
        <v>30</v>
      </c>
      <c r="L16" s="13">
        <f t="shared" si="1"/>
        <v>30</v>
      </c>
      <c r="M16" s="176">
        <v>27</v>
      </c>
      <c r="N16" s="143">
        <f>4</f>
        <v>4</v>
      </c>
      <c r="O16" s="13">
        <f t="shared" si="2"/>
        <v>53</v>
      </c>
      <c r="P16" s="176"/>
      <c r="Q16" s="143">
        <f>8+4+4</f>
        <v>16</v>
      </c>
      <c r="R16" s="30">
        <f t="shared" si="3"/>
        <v>37</v>
      </c>
      <c r="S16" s="176"/>
      <c r="T16" s="143">
        <f>15+2</f>
        <v>17</v>
      </c>
      <c r="U16" s="13">
        <f t="shared" si="4"/>
        <v>20</v>
      </c>
      <c r="V16" s="176">
        <v>12</v>
      </c>
      <c r="W16" s="143">
        <f>1+1+1+1+4</f>
        <v>8</v>
      </c>
      <c r="X16" s="13">
        <f t="shared" si="5"/>
        <v>24</v>
      </c>
      <c r="Y16" s="176">
        <v>6</v>
      </c>
      <c r="Z16" s="143">
        <f>4+6</f>
        <v>10</v>
      </c>
      <c r="AA16" s="13">
        <f t="shared" si="27"/>
        <v>20</v>
      </c>
      <c r="AB16" s="176"/>
      <c r="AC16" s="143"/>
      <c r="AD16" s="13">
        <f t="shared" si="28"/>
        <v>20</v>
      </c>
      <c r="AE16" s="176"/>
      <c r="AF16" s="143">
        <f>2</f>
        <v>2</v>
      </c>
      <c r="AG16" s="13">
        <f t="shared" si="29"/>
        <v>18</v>
      </c>
      <c r="AH16" s="176">
        <v>30</v>
      </c>
      <c r="AI16" s="143">
        <f>2+4</f>
        <v>6</v>
      </c>
      <c r="AJ16" s="13">
        <f t="shared" si="30"/>
        <v>42</v>
      </c>
      <c r="AK16" s="176"/>
      <c r="AL16" s="143"/>
      <c r="AM16" s="13">
        <f t="shared" si="6"/>
        <v>42</v>
      </c>
      <c r="AN16" s="176"/>
      <c r="AO16" s="143">
        <f>18+5</f>
        <v>23</v>
      </c>
      <c r="AP16" s="13">
        <f t="shared" si="7"/>
        <v>19</v>
      </c>
      <c r="AQ16" s="176">
        <v>30</v>
      </c>
      <c r="AR16" s="143">
        <f>1+1</f>
        <v>2</v>
      </c>
      <c r="AS16" s="13">
        <f t="shared" si="8"/>
        <v>47</v>
      </c>
      <c r="AT16" s="176">
        <v>10</v>
      </c>
      <c r="AU16" s="143">
        <f>3+6</f>
        <v>9</v>
      </c>
      <c r="AV16" s="13">
        <f t="shared" si="9"/>
        <v>48</v>
      </c>
      <c r="AW16" s="176"/>
      <c r="AX16" s="143"/>
      <c r="AY16" s="13">
        <f t="shared" si="10"/>
        <v>48</v>
      </c>
      <c r="AZ16" s="176">
        <v>5</v>
      </c>
      <c r="BA16" s="143">
        <f>5+15+4+4</f>
        <v>28</v>
      </c>
      <c r="BB16" s="13">
        <f t="shared" si="11"/>
        <v>25</v>
      </c>
      <c r="BC16" s="176">
        <v>37</v>
      </c>
      <c r="BD16" s="143">
        <f>4+1+4</f>
        <v>9</v>
      </c>
      <c r="BE16" s="13">
        <f t="shared" si="12"/>
        <v>53</v>
      </c>
      <c r="BF16" s="176"/>
      <c r="BG16" s="143">
        <f>8+1</f>
        <v>9</v>
      </c>
      <c r="BH16" s="13">
        <f t="shared" si="13"/>
        <v>44</v>
      </c>
      <c r="BI16" s="176">
        <f>11+12</f>
        <v>23</v>
      </c>
      <c r="BJ16" s="143">
        <f>2+10+15+12</f>
        <v>39</v>
      </c>
      <c r="BK16" s="13">
        <f t="shared" si="14"/>
        <v>28</v>
      </c>
      <c r="BL16" s="176">
        <f>35+12</f>
        <v>47</v>
      </c>
      <c r="BM16" s="143">
        <f>1+1+1+1+1+3</f>
        <v>8</v>
      </c>
      <c r="BN16" s="13">
        <f t="shared" si="15"/>
        <v>67</v>
      </c>
      <c r="BO16" s="176"/>
      <c r="BP16" s="143">
        <f>3+4</f>
        <v>7</v>
      </c>
      <c r="BQ16" s="13">
        <f t="shared" si="16"/>
        <v>60</v>
      </c>
      <c r="BR16" s="176"/>
      <c r="BS16" s="143"/>
      <c r="BT16" s="13">
        <f t="shared" si="17"/>
        <v>60</v>
      </c>
      <c r="BU16" s="176"/>
      <c r="BV16" s="143">
        <f>4+4+4+2</f>
        <v>14</v>
      </c>
      <c r="BW16" s="13">
        <f t="shared" si="18"/>
        <v>46</v>
      </c>
      <c r="BX16" s="176">
        <v>10</v>
      </c>
      <c r="BY16" s="143">
        <f>2+2</f>
        <v>4</v>
      </c>
      <c r="BZ16" s="13">
        <f t="shared" si="19"/>
        <v>52</v>
      </c>
      <c r="CA16" s="176"/>
      <c r="CB16" s="143">
        <f>5+5+4+18+5</f>
        <v>37</v>
      </c>
      <c r="CC16" s="13">
        <f t="shared" si="20"/>
        <v>15</v>
      </c>
      <c r="CD16" s="176">
        <v>10</v>
      </c>
      <c r="CE16" s="143">
        <f>2</f>
        <v>2</v>
      </c>
      <c r="CF16" s="13">
        <f t="shared" si="21"/>
        <v>23</v>
      </c>
      <c r="CG16" s="176">
        <v>20</v>
      </c>
      <c r="CH16" s="143">
        <f>1+1+1</f>
        <v>3</v>
      </c>
      <c r="CI16" s="13">
        <f t="shared" si="31"/>
        <v>40</v>
      </c>
      <c r="CJ16" s="176">
        <v>23</v>
      </c>
      <c r="CK16" s="143">
        <f>4+4+4</f>
        <v>12</v>
      </c>
      <c r="CL16" s="13">
        <f t="shared" si="32"/>
        <v>51</v>
      </c>
      <c r="CM16" s="176"/>
      <c r="CN16" s="143"/>
      <c r="CO16" s="13">
        <f t="shared" si="22"/>
        <v>51</v>
      </c>
      <c r="CP16" s="176"/>
      <c r="CQ16" s="143">
        <f>5+10+4+7+8+7</f>
        <v>41</v>
      </c>
      <c r="CR16" s="13">
        <f t="shared" si="33"/>
        <v>10</v>
      </c>
      <c r="CS16" s="176"/>
      <c r="CT16" s="143"/>
      <c r="CU16" s="14">
        <f t="shared" si="23"/>
        <v>10</v>
      </c>
      <c r="CV16" s="5">
        <f t="shared" si="24"/>
        <v>310</v>
      </c>
      <c r="CW16" s="4">
        <f t="shared" si="24"/>
        <v>340</v>
      </c>
      <c r="CX16" s="6">
        <f t="shared" si="25"/>
        <v>10</v>
      </c>
      <c r="CY16" s="162">
        <v>90</v>
      </c>
      <c r="CZ16" s="171">
        <f t="shared" si="26"/>
        <v>900</v>
      </c>
      <c r="DB16" s="2">
        <f t="shared" si="34"/>
        <v>10</v>
      </c>
      <c r="DC16" s="63"/>
      <c r="DD16" s="143"/>
      <c r="DE16" s="149">
        <f t="shared" si="35"/>
        <v>10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9</v>
      </c>
      <c r="G17" s="62"/>
      <c r="H17" s="143"/>
      <c r="I17" s="13">
        <f t="shared" si="0"/>
        <v>9</v>
      </c>
      <c r="J17" s="62">
        <f>-14-6+15+50</f>
        <v>45</v>
      </c>
      <c r="K17" s="143">
        <f>5+4</f>
        <v>9</v>
      </c>
      <c r="L17" s="13">
        <f t="shared" si="1"/>
        <v>45</v>
      </c>
      <c r="M17" s="62">
        <f>15+10</f>
        <v>25</v>
      </c>
      <c r="N17" s="143">
        <f>3+40+8</f>
        <v>51</v>
      </c>
      <c r="O17" s="13">
        <f t="shared" si="2"/>
        <v>19</v>
      </c>
      <c r="P17" s="62"/>
      <c r="Q17" s="143"/>
      <c r="R17" s="30">
        <f t="shared" si="3"/>
        <v>19</v>
      </c>
      <c r="S17" s="62">
        <f>20+15</f>
        <v>35</v>
      </c>
      <c r="T17" s="143">
        <f>4+13</f>
        <v>17</v>
      </c>
      <c r="U17" s="13">
        <f t="shared" si="4"/>
        <v>37</v>
      </c>
      <c r="V17" s="62">
        <f>15+20</f>
        <v>35</v>
      </c>
      <c r="W17" s="143">
        <f>14</f>
        <v>14</v>
      </c>
      <c r="X17" s="13">
        <f t="shared" si="5"/>
        <v>58</v>
      </c>
      <c r="Y17" s="62">
        <f>20</f>
        <v>20</v>
      </c>
      <c r="Z17" s="143">
        <f>6+49</f>
        <v>55</v>
      </c>
      <c r="AA17" s="13">
        <f t="shared" si="27"/>
        <v>23</v>
      </c>
      <c r="AB17" s="62"/>
      <c r="AC17" s="143"/>
      <c r="AD17" s="13">
        <f t="shared" si="28"/>
        <v>23</v>
      </c>
      <c r="AE17" s="62">
        <f>-4+15+20</f>
        <v>31</v>
      </c>
      <c r="AF17" s="143">
        <f>3+20</f>
        <v>23</v>
      </c>
      <c r="AG17" s="13">
        <f t="shared" si="29"/>
        <v>31</v>
      </c>
      <c r="AH17" s="62">
        <f>-12+15+20</f>
        <v>23</v>
      </c>
      <c r="AI17" s="143">
        <f>6+25</f>
        <v>31</v>
      </c>
      <c r="AJ17" s="13">
        <f t="shared" si="30"/>
        <v>23</v>
      </c>
      <c r="AK17" s="62"/>
      <c r="AL17" s="143"/>
      <c r="AM17" s="13">
        <f t="shared" si="6"/>
        <v>23</v>
      </c>
      <c r="AN17" s="62">
        <f>6+20</f>
        <v>26</v>
      </c>
      <c r="AO17" s="143">
        <f>3+20</f>
        <v>23</v>
      </c>
      <c r="AP17" s="13">
        <f t="shared" si="7"/>
        <v>26</v>
      </c>
      <c r="AQ17" s="62">
        <f>15+20</f>
        <v>35</v>
      </c>
      <c r="AR17" s="143">
        <v>14</v>
      </c>
      <c r="AS17" s="13">
        <f t="shared" si="8"/>
        <v>47</v>
      </c>
      <c r="AT17" s="62">
        <f>-21+15+40</f>
        <v>34</v>
      </c>
      <c r="AU17" s="143">
        <f>3+44</f>
        <v>47</v>
      </c>
      <c r="AV17" s="13">
        <f t="shared" si="9"/>
        <v>34</v>
      </c>
      <c r="AW17" s="62"/>
      <c r="AX17" s="143"/>
      <c r="AY17" s="13">
        <f t="shared" si="10"/>
        <v>34</v>
      </c>
      <c r="AZ17" s="62">
        <f>15+20</f>
        <v>35</v>
      </c>
      <c r="BA17" s="143">
        <f>5+20+6</f>
        <v>31</v>
      </c>
      <c r="BB17" s="13">
        <f t="shared" si="11"/>
        <v>38</v>
      </c>
      <c r="BC17" s="62">
        <f>15+20</f>
        <v>35</v>
      </c>
      <c r="BD17" s="143">
        <f>4+32</f>
        <v>36</v>
      </c>
      <c r="BE17" s="13">
        <f t="shared" si="12"/>
        <v>37</v>
      </c>
      <c r="BF17" s="62"/>
      <c r="BG17" s="143"/>
      <c r="BH17" s="13">
        <f t="shared" si="13"/>
        <v>37</v>
      </c>
      <c r="BI17" s="62">
        <f>10+15+8-15</f>
        <v>18</v>
      </c>
      <c r="BJ17" s="143">
        <f>4+20+2</f>
        <v>26</v>
      </c>
      <c r="BK17" s="13">
        <f t="shared" si="14"/>
        <v>29</v>
      </c>
      <c r="BL17" s="62">
        <f>15+30</f>
        <v>45</v>
      </c>
      <c r="BM17" s="143">
        <f>3+20</f>
        <v>23</v>
      </c>
      <c r="BN17" s="13">
        <f t="shared" si="15"/>
        <v>51</v>
      </c>
      <c r="BO17" s="62">
        <f>15+20+9</f>
        <v>44</v>
      </c>
      <c r="BP17" s="143">
        <f>8+26+9</f>
        <v>43</v>
      </c>
      <c r="BQ17" s="13">
        <f t="shared" si="16"/>
        <v>52</v>
      </c>
      <c r="BR17" s="62"/>
      <c r="BS17" s="143"/>
      <c r="BT17" s="13">
        <f t="shared" si="17"/>
        <v>52</v>
      </c>
      <c r="BU17" s="62">
        <f>15+20+9</f>
        <v>44</v>
      </c>
      <c r="BV17" s="143">
        <f>3+32</f>
        <v>35</v>
      </c>
      <c r="BW17" s="13">
        <f t="shared" si="18"/>
        <v>61</v>
      </c>
      <c r="BX17" s="62">
        <f>15+10</f>
        <v>25</v>
      </c>
      <c r="BY17" s="143">
        <f>6+38</f>
        <v>44</v>
      </c>
      <c r="BZ17" s="13">
        <f t="shared" si="19"/>
        <v>42</v>
      </c>
      <c r="CA17" s="62"/>
      <c r="CB17" s="143"/>
      <c r="CC17" s="13">
        <f t="shared" si="20"/>
        <v>42</v>
      </c>
      <c r="CD17" s="62"/>
      <c r="CE17" s="143">
        <f>3+8+2+4</f>
        <v>17</v>
      </c>
      <c r="CF17" s="13">
        <f t="shared" si="21"/>
        <v>25</v>
      </c>
      <c r="CG17" s="62">
        <f>15+20</f>
        <v>35</v>
      </c>
      <c r="CH17" s="143">
        <f>3+12</f>
        <v>15</v>
      </c>
      <c r="CI17" s="13">
        <f t="shared" si="31"/>
        <v>45</v>
      </c>
      <c r="CJ17" s="62">
        <f>-4+15+20</f>
        <v>31</v>
      </c>
      <c r="CK17" s="143">
        <f>10+33+2</f>
        <v>45</v>
      </c>
      <c r="CL17" s="13">
        <f t="shared" si="32"/>
        <v>31</v>
      </c>
      <c r="CM17" s="62"/>
      <c r="CN17" s="143"/>
      <c r="CO17" s="13">
        <f t="shared" si="22"/>
        <v>31</v>
      </c>
      <c r="CP17" s="62">
        <v>15</v>
      </c>
      <c r="CQ17" s="143">
        <f>3+24+2</f>
        <v>29</v>
      </c>
      <c r="CR17" s="13">
        <f t="shared" si="33"/>
        <v>17</v>
      </c>
      <c r="CS17" s="62"/>
      <c r="CT17" s="143"/>
      <c r="CU17" s="14">
        <f t="shared" si="23"/>
        <v>17</v>
      </c>
      <c r="CV17" s="5">
        <f t="shared" si="24"/>
        <v>636</v>
      </c>
      <c r="CW17" s="4">
        <f t="shared" si="24"/>
        <v>628</v>
      </c>
      <c r="CX17" s="6">
        <f t="shared" si="25"/>
        <v>17</v>
      </c>
      <c r="CY17" s="162">
        <v>200</v>
      </c>
      <c r="CZ17" s="171">
        <f t="shared" si="26"/>
        <v>3400</v>
      </c>
      <c r="DB17" s="2">
        <f t="shared" si="34"/>
        <v>17</v>
      </c>
      <c r="DC17" s="61"/>
      <c r="DD17" s="143"/>
      <c r="DE17" s="149">
        <f t="shared" si="35"/>
        <v>17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6.3000000000000007</v>
      </c>
      <c r="G18" s="62"/>
      <c r="H18" s="143"/>
      <c r="I18" s="13">
        <f t="shared" si="0"/>
        <v>6.3000000000000007</v>
      </c>
      <c r="J18" s="62">
        <v>4</v>
      </c>
      <c r="K18" s="143">
        <v>5.4</v>
      </c>
      <c r="L18" s="13">
        <f t="shared" si="1"/>
        <v>4.9000000000000004</v>
      </c>
      <c r="M18" s="62"/>
      <c r="N18" s="143"/>
      <c r="O18" s="13">
        <f t="shared" si="2"/>
        <v>4.9000000000000004</v>
      </c>
      <c r="P18" s="62"/>
      <c r="Q18" s="143">
        <f>1.9</f>
        <v>1.9</v>
      </c>
      <c r="R18" s="30">
        <f t="shared" si="3"/>
        <v>3.0000000000000004</v>
      </c>
      <c r="S18" s="62">
        <v>4</v>
      </c>
      <c r="T18" s="143">
        <v>1.5</v>
      </c>
      <c r="U18" s="13">
        <f t="shared" si="4"/>
        <v>5.5</v>
      </c>
      <c r="V18" s="62"/>
      <c r="W18" s="143">
        <f>1+0.9</f>
        <v>1.9</v>
      </c>
      <c r="X18" s="13">
        <f t="shared" si="5"/>
        <v>3.6</v>
      </c>
      <c r="Y18" s="62">
        <v>4</v>
      </c>
      <c r="Z18" s="143">
        <f>4+1.1</f>
        <v>5.0999999999999996</v>
      </c>
      <c r="AA18" s="13">
        <f t="shared" si="27"/>
        <v>2.5</v>
      </c>
      <c r="AB18" s="62"/>
      <c r="AC18" s="143"/>
      <c r="AD18" s="13">
        <f t="shared" si="28"/>
        <v>2.5</v>
      </c>
      <c r="AE18" s="62"/>
      <c r="AF18" s="143"/>
      <c r="AG18" s="13">
        <f t="shared" si="29"/>
        <v>2.5</v>
      </c>
      <c r="AH18" s="62"/>
      <c r="AI18" s="143"/>
      <c r="AJ18" s="13">
        <f t="shared" si="30"/>
        <v>2.5</v>
      </c>
      <c r="AK18" s="62"/>
      <c r="AL18" s="143"/>
      <c r="AM18" s="13">
        <f t="shared" si="6"/>
        <v>2.5</v>
      </c>
      <c r="AN18" s="62"/>
      <c r="AO18" s="143"/>
      <c r="AP18" s="13">
        <f t="shared" si="7"/>
        <v>2.5</v>
      </c>
      <c r="AQ18" s="62">
        <v>4</v>
      </c>
      <c r="AR18" s="143"/>
      <c r="AS18" s="13">
        <f t="shared" si="8"/>
        <v>6.5</v>
      </c>
      <c r="AT18" s="62"/>
      <c r="AU18" s="143"/>
      <c r="AV18" s="13">
        <f t="shared" si="9"/>
        <v>6.5</v>
      </c>
      <c r="AW18" s="62"/>
      <c r="AX18" s="143"/>
      <c r="AY18" s="13">
        <f t="shared" si="10"/>
        <v>6.5</v>
      </c>
      <c r="AZ18" s="64">
        <v>6.8</v>
      </c>
      <c r="BA18" s="143">
        <f>5.3</f>
        <v>5.3</v>
      </c>
      <c r="BB18" s="13">
        <f t="shared" si="11"/>
        <v>8</v>
      </c>
      <c r="BC18" s="62"/>
      <c r="BD18" s="143"/>
      <c r="BE18" s="13">
        <f t="shared" si="12"/>
        <v>8</v>
      </c>
      <c r="BF18" s="62"/>
      <c r="BG18" s="143"/>
      <c r="BH18" s="13">
        <f t="shared" si="13"/>
        <v>8</v>
      </c>
      <c r="BI18" s="62"/>
      <c r="BJ18" s="143"/>
      <c r="BK18" s="13">
        <f t="shared" si="14"/>
        <v>8</v>
      </c>
      <c r="BL18" s="62">
        <v>4</v>
      </c>
      <c r="BM18" s="143">
        <f>1+0.9</f>
        <v>1.9</v>
      </c>
      <c r="BN18" s="13">
        <f t="shared" si="15"/>
        <v>10.1</v>
      </c>
      <c r="BO18" s="62"/>
      <c r="BP18" s="143">
        <f>1.1</f>
        <v>1.1000000000000001</v>
      </c>
      <c r="BQ18" s="13">
        <f t="shared" si="16"/>
        <v>9</v>
      </c>
      <c r="BR18" s="62"/>
      <c r="BS18" s="143"/>
      <c r="BT18" s="13">
        <f t="shared" si="17"/>
        <v>9</v>
      </c>
      <c r="BU18" s="62"/>
      <c r="BV18" s="143">
        <f>4-1.3</f>
        <v>2.7</v>
      </c>
      <c r="BW18" s="13">
        <f t="shared" si="18"/>
        <v>6.3</v>
      </c>
      <c r="BX18" s="62"/>
      <c r="BY18" s="143"/>
      <c r="BZ18" s="13">
        <f t="shared" si="19"/>
        <v>6.3</v>
      </c>
      <c r="CA18" s="62"/>
      <c r="CB18" s="143">
        <f>2</f>
        <v>2</v>
      </c>
      <c r="CC18" s="13">
        <f t="shared" si="20"/>
        <v>4.3</v>
      </c>
      <c r="CD18" s="62"/>
      <c r="CE18" s="143">
        <f>2.2</f>
        <v>2.2000000000000002</v>
      </c>
      <c r="CF18" s="13">
        <f t="shared" si="21"/>
        <v>2.0999999999999996</v>
      </c>
      <c r="CG18" s="62"/>
      <c r="CH18" s="143"/>
      <c r="CI18" s="13">
        <f t="shared" si="31"/>
        <v>2.0999999999999996</v>
      </c>
      <c r="CJ18" s="62"/>
      <c r="CK18" s="143"/>
      <c r="CL18" s="13">
        <f t="shared" si="32"/>
        <v>2.0999999999999996</v>
      </c>
      <c r="CM18" s="62"/>
      <c r="CN18" s="143"/>
      <c r="CO18" s="13">
        <f t="shared" si="22"/>
        <v>2.0999999999999996</v>
      </c>
      <c r="CP18" s="62">
        <v>0.9</v>
      </c>
      <c r="CQ18" s="143"/>
      <c r="CR18" s="13">
        <f t="shared" si="33"/>
        <v>2.9999999999999996</v>
      </c>
      <c r="CS18" s="62"/>
      <c r="CT18" s="143"/>
      <c r="CU18" s="14">
        <f t="shared" si="23"/>
        <v>2.9999999999999996</v>
      </c>
      <c r="CV18" s="5">
        <f t="shared" si="24"/>
        <v>27.7</v>
      </c>
      <c r="CW18" s="4">
        <f t="shared" si="24"/>
        <v>31</v>
      </c>
      <c r="CX18" s="6">
        <f t="shared" si="25"/>
        <v>2.9999999999999996</v>
      </c>
      <c r="CY18" s="162">
        <v>550</v>
      </c>
      <c r="CZ18" s="171">
        <f t="shared" si="26"/>
        <v>1649.9999999999998</v>
      </c>
      <c r="DB18" s="2">
        <f t="shared" si="34"/>
        <v>2.9999999999999996</v>
      </c>
      <c r="DC18" s="61"/>
      <c r="DD18" s="143"/>
      <c r="DE18" s="149">
        <f t="shared" si="35"/>
        <v>2.9999999999999996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4.7999999999999954</v>
      </c>
      <c r="G19" s="62"/>
      <c r="H19" s="143"/>
      <c r="I19" s="13">
        <f t="shared" si="0"/>
        <v>4.7999999999999954</v>
      </c>
      <c r="J19" s="62"/>
      <c r="K19" s="143"/>
      <c r="L19" s="13">
        <f t="shared" si="1"/>
        <v>4.7999999999999954</v>
      </c>
      <c r="M19" s="62"/>
      <c r="N19" s="143"/>
      <c r="O19" s="13">
        <f t="shared" si="2"/>
        <v>4.7999999999999954</v>
      </c>
      <c r="P19" s="62"/>
      <c r="Q19" s="143">
        <f>0.2+4.3</f>
        <v>4.5</v>
      </c>
      <c r="R19" s="30">
        <f t="shared" si="3"/>
        <v>0.29999999999999538</v>
      </c>
      <c r="S19" s="62">
        <v>4</v>
      </c>
      <c r="T19" s="143"/>
      <c r="U19" s="13">
        <f t="shared" si="4"/>
        <v>4.2999999999999954</v>
      </c>
      <c r="V19" s="62"/>
      <c r="W19" s="143">
        <f>0.9</f>
        <v>0.9</v>
      </c>
      <c r="X19" s="30">
        <f t="shared" si="5"/>
        <v>3.3999999999999955</v>
      </c>
      <c r="Y19" s="62"/>
      <c r="Z19" s="143"/>
      <c r="AA19" s="13">
        <f t="shared" si="27"/>
        <v>3.3999999999999955</v>
      </c>
      <c r="AB19" s="62"/>
      <c r="AC19" s="143"/>
      <c r="AD19" s="13">
        <f t="shared" si="28"/>
        <v>3.3999999999999955</v>
      </c>
      <c r="AE19" s="62"/>
      <c r="AF19" s="143"/>
      <c r="AG19" s="13">
        <f t="shared" si="29"/>
        <v>3.3999999999999955</v>
      </c>
      <c r="AH19" s="62"/>
      <c r="AI19" s="143">
        <f>0.2+1.1</f>
        <v>1.3</v>
      </c>
      <c r="AJ19" s="13">
        <f t="shared" si="30"/>
        <v>2.0999999999999952</v>
      </c>
      <c r="AK19" s="62"/>
      <c r="AL19" s="143"/>
      <c r="AM19" s="13">
        <f t="shared" si="6"/>
        <v>2.0999999999999952</v>
      </c>
      <c r="AN19" s="62"/>
      <c r="AO19" s="143"/>
      <c r="AP19" s="13">
        <f t="shared" si="7"/>
        <v>2.0999999999999952</v>
      </c>
      <c r="AQ19" s="62">
        <v>4</v>
      </c>
      <c r="AR19" s="143"/>
      <c r="AS19" s="13">
        <f t="shared" si="8"/>
        <v>6.0999999999999952</v>
      </c>
      <c r="AT19" s="62"/>
      <c r="AU19" s="143">
        <v>2.2000000000000002</v>
      </c>
      <c r="AV19" s="13">
        <f t="shared" si="9"/>
        <v>3.899999999999995</v>
      </c>
      <c r="AW19" s="62"/>
      <c r="AX19" s="143"/>
      <c r="AY19" s="13">
        <f t="shared" si="10"/>
        <v>3.899999999999995</v>
      </c>
      <c r="AZ19" s="64">
        <v>1.1000000000000001</v>
      </c>
      <c r="BA19" s="143"/>
      <c r="BB19" s="13">
        <f t="shared" si="11"/>
        <v>4.9999999999999947</v>
      </c>
      <c r="BC19" s="62"/>
      <c r="BD19" s="143"/>
      <c r="BE19" s="13">
        <f t="shared" si="12"/>
        <v>4.9999999999999947</v>
      </c>
      <c r="BF19" s="62"/>
      <c r="BG19" s="143">
        <f>4.3</f>
        <v>4.3</v>
      </c>
      <c r="BH19" s="13">
        <f t="shared" si="13"/>
        <v>0.69999999999999485</v>
      </c>
      <c r="BI19" s="62"/>
      <c r="BJ19" s="143"/>
      <c r="BK19" s="13">
        <f t="shared" si="14"/>
        <v>0.69999999999999485</v>
      </c>
      <c r="BL19" s="62"/>
      <c r="BM19" s="143">
        <f>0.2</f>
        <v>0.2</v>
      </c>
      <c r="BN19" s="13">
        <f t="shared" si="15"/>
        <v>0.49999999999999484</v>
      </c>
      <c r="BO19" s="62"/>
      <c r="BP19" s="143"/>
      <c r="BQ19" s="13">
        <f t="shared" si="16"/>
        <v>0.49999999999999484</v>
      </c>
      <c r="BR19" s="62"/>
      <c r="BS19" s="143"/>
      <c r="BT19" s="13">
        <f t="shared" si="17"/>
        <v>0.49999999999999484</v>
      </c>
      <c r="BU19" s="62">
        <v>4</v>
      </c>
      <c r="BV19" s="143"/>
      <c r="BW19" s="13">
        <f t="shared" si="18"/>
        <v>4.4999999999999947</v>
      </c>
      <c r="BX19" s="62"/>
      <c r="BY19" s="143">
        <f>1.1</f>
        <v>1.1000000000000001</v>
      </c>
      <c r="BZ19" s="13">
        <f t="shared" si="19"/>
        <v>3.3999999999999946</v>
      </c>
      <c r="CA19" s="62"/>
      <c r="CB19" s="143">
        <f>0.2</f>
        <v>0.2</v>
      </c>
      <c r="CC19" s="13">
        <f t="shared" si="20"/>
        <v>3.1999999999999944</v>
      </c>
      <c r="CD19" s="62"/>
      <c r="CE19" s="143"/>
      <c r="CF19" s="13">
        <f t="shared" si="21"/>
        <v>3.1999999999999944</v>
      </c>
      <c r="CG19" s="62"/>
      <c r="CH19" s="143">
        <f>0.2</f>
        <v>0.2</v>
      </c>
      <c r="CI19" s="13">
        <f t="shared" si="31"/>
        <v>2.9999999999999942</v>
      </c>
      <c r="CJ19" s="62"/>
      <c r="CK19" s="143"/>
      <c r="CL19" s="13">
        <f t="shared" si="32"/>
        <v>2.9999999999999942</v>
      </c>
      <c r="CM19" s="62"/>
      <c r="CN19" s="143"/>
      <c r="CO19" s="13">
        <f t="shared" si="22"/>
        <v>2.9999999999999942</v>
      </c>
      <c r="CP19" s="62"/>
      <c r="CQ19" s="143"/>
      <c r="CR19" s="13">
        <f t="shared" si="33"/>
        <v>2.9999999999999942</v>
      </c>
      <c r="CS19" s="62"/>
      <c r="CT19" s="143"/>
      <c r="CU19" s="14">
        <f t="shared" si="23"/>
        <v>2.9999999999999942</v>
      </c>
      <c r="CV19" s="5">
        <f t="shared" si="24"/>
        <v>13.1</v>
      </c>
      <c r="CW19" s="4">
        <f t="shared" si="24"/>
        <v>14.899999999999997</v>
      </c>
      <c r="CX19" s="6">
        <f t="shared" si="25"/>
        <v>2.9999999999999942</v>
      </c>
      <c r="CY19" s="162">
        <v>575</v>
      </c>
      <c r="CZ19" s="171">
        <f t="shared" si="26"/>
        <v>1724.9999999999966</v>
      </c>
      <c r="DB19" s="2">
        <f t="shared" si="34"/>
        <v>2.9999999999999942</v>
      </c>
      <c r="DC19" s="61"/>
      <c r="DD19" s="143"/>
      <c r="DE19" s="149">
        <f t="shared" si="35"/>
        <v>2.9999999999999942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2</v>
      </c>
      <c r="G21" s="62"/>
      <c r="H21" s="143"/>
      <c r="I21" s="13">
        <f t="shared" si="0"/>
        <v>2</v>
      </c>
      <c r="J21" s="62"/>
      <c r="K21" s="143"/>
      <c r="L21" s="13">
        <f t="shared" si="1"/>
        <v>2</v>
      </c>
      <c r="M21" s="62"/>
      <c r="N21" s="143"/>
      <c r="O21" s="13">
        <f t="shared" si="2"/>
        <v>2</v>
      </c>
      <c r="P21" s="62"/>
      <c r="Q21" s="143"/>
      <c r="R21" s="30">
        <f t="shared" si="3"/>
        <v>2</v>
      </c>
      <c r="S21" s="62"/>
      <c r="T21" s="143"/>
      <c r="U21" s="13">
        <f t="shared" si="4"/>
        <v>2</v>
      </c>
      <c r="V21" s="62">
        <v>-1</v>
      </c>
      <c r="W21" s="143"/>
      <c r="X21" s="13">
        <f t="shared" si="5"/>
        <v>1</v>
      </c>
      <c r="Y21" s="62"/>
      <c r="Z21" s="143"/>
      <c r="AA21" s="13">
        <f t="shared" si="27"/>
        <v>1</v>
      </c>
      <c r="AB21" s="62"/>
      <c r="AC21" s="143"/>
      <c r="AD21" s="13">
        <f t="shared" si="28"/>
        <v>1</v>
      </c>
      <c r="AE21" s="62"/>
      <c r="AF21" s="143"/>
      <c r="AG21" s="13">
        <f t="shared" si="29"/>
        <v>1</v>
      </c>
      <c r="AH21" s="62"/>
      <c r="AI21" s="143"/>
      <c r="AJ21" s="13">
        <f t="shared" si="30"/>
        <v>1</v>
      </c>
      <c r="AK21" s="62"/>
      <c r="AL21" s="143"/>
      <c r="AM21" s="13">
        <f t="shared" si="6"/>
        <v>1</v>
      </c>
      <c r="AN21" s="62"/>
      <c r="AO21" s="143"/>
      <c r="AP21" s="13">
        <f t="shared" si="7"/>
        <v>1</v>
      </c>
      <c r="AQ21" s="62"/>
      <c r="AR21" s="143"/>
      <c r="AS21" s="13">
        <f t="shared" si="8"/>
        <v>1</v>
      </c>
      <c r="AT21" s="62"/>
      <c r="AU21" s="143"/>
      <c r="AV21" s="13">
        <f t="shared" si="9"/>
        <v>1</v>
      </c>
      <c r="AW21" s="62"/>
      <c r="AX21" s="143"/>
      <c r="AY21" s="13">
        <f t="shared" si="10"/>
        <v>1</v>
      </c>
      <c r="AZ21" s="62"/>
      <c r="BA21" s="143"/>
      <c r="BB21" s="13">
        <f t="shared" si="11"/>
        <v>1</v>
      </c>
      <c r="BC21" s="62"/>
      <c r="BD21" s="143"/>
      <c r="BE21" s="13">
        <f t="shared" si="12"/>
        <v>1</v>
      </c>
      <c r="BF21" s="62"/>
      <c r="BG21" s="143"/>
      <c r="BH21" s="13">
        <f t="shared" si="13"/>
        <v>1</v>
      </c>
      <c r="BI21" s="62"/>
      <c r="BJ21" s="143"/>
      <c r="BK21" s="13">
        <f t="shared" si="14"/>
        <v>1</v>
      </c>
      <c r="BL21" s="62"/>
      <c r="BM21" s="143"/>
      <c r="BN21" s="13">
        <f t="shared" si="15"/>
        <v>1</v>
      </c>
      <c r="BO21" s="62">
        <v>-1</v>
      </c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-2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5.9000000000000083</v>
      </c>
      <c r="G22" s="62"/>
      <c r="H22" s="143"/>
      <c r="I22" s="13">
        <f t="shared" si="0"/>
        <v>5.9000000000000083</v>
      </c>
      <c r="J22" s="62">
        <v>30</v>
      </c>
      <c r="K22" s="143">
        <f>1.6+0.6</f>
        <v>2.2000000000000002</v>
      </c>
      <c r="L22" s="13">
        <f t="shared" si="1"/>
        <v>33.700000000000003</v>
      </c>
      <c r="M22" s="62">
        <v>10</v>
      </c>
      <c r="N22" s="143">
        <f>10+5.4+4.2+1+3.2+0.2</f>
        <v>24</v>
      </c>
      <c r="O22" s="13">
        <f t="shared" si="2"/>
        <v>19.700000000000003</v>
      </c>
      <c r="P22" s="62"/>
      <c r="Q22" s="143"/>
      <c r="R22" s="30">
        <f t="shared" si="3"/>
        <v>19.700000000000003</v>
      </c>
      <c r="S22" s="62">
        <v>10</v>
      </c>
      <c r="T22" s="143">
        <f>2.8+2.9+2+1.9</f>
        <v>9.6</v>
      </c>
      <c r="U22" s="13">
        <f t="shared" si="4"/>
        <v>20.100000000000001</v>
      </c>
      <c r="V22" s="62"/>
      <c r="W22" s="143">
        <f>4.1+4.5+0.2</f>
        <v>8.7999999999999989</v>
      </c>
      <c r="X22" s="13">
        <f t="shared" si="5"/>
        <v>11.300000000000002</v>
      </c>
      <c r="Y22" s="62"/>
      <c r="Z22" s="143">
        <f>2.8</f>
        <v>2.8</v>
      </c>
      <c r="AA22" s="13">
        <f t="shared" si="27"/>
        <v>8.5000000000000036</v>
      </c>
      <c r="AB22" s="62"/>
      <c r="AC22" s="143"/>
      <c r="AD22" s="13">
        <f t="shared" si="28"/>
        <v>8.5000000000000036</v>
      </c>
      <c r="AE22" s="62"/>
      <c r="AF22" s="143"/>
      <c r="AG22" s="13">
        <f t="shared" si="29"/>
        <v>8.5000000000000036</v>
      </c>
      <c r="AH22" s="62">
        <v>10</v>
      </c>
      <c r="AI22" s="143"/>
      <c r="AJ22" s="13">
        <f t="shared" si="30"/>
        <v>18.500000000000004</v>
      </c>
      <c r="AK22" s="62"/>
      <c r="AL22" s="143">
        <f>2.7+0.5</f>
        <v>3.2</v>
      </c>
      <c r="AM22" s="13">
        <f t="shared" si="6"/>
        <v>15.300000000000004</v>
      </c>
      <c r="AN22" s="62">
        <v>10</v>
      </c>
      <c r="AO22" s="143">
        <f>1.6+3.9+5+2</f>
        <v>12.5</v>
      </c>
      <c r="AP22" s="13">
        <f t="shared" si="7"/>
        <v>12.800000000000004</v>
      </c>
      <c r="AQ22" s="62">
        <v>10</v>
      </c>
      <c r="AR22" s="143">
        <f>0.6+0.5+1.6</f>
        <v>2.7</v>
      </c>
      <c r="AS22" s="13">
        <f t="shared" si="8"/>
        <v>20.100000000000005</v>
      </c>
      <c r="AT22" s="62">
        <v>10</v>
      </c>
      <c r="AU22" s="143">
        <f>10</f>
        <v>10</v>
      </c>
      <c r="AV22" s="13">
        <f t="shared" si="9"/>
        <v>20.100000000000005</v>
      </c>
      <c r="AW22" s="62"/>
      <c r="AX22" s="143"/>
      <c r="AY22" s="13">
        <f t="shared" si="10"/>
        <v>20.100000000000005</v>
      </c>
      <c r="AZ22" s="62">
        <v>10</v>
      </c>
      <c r="BA22" s="143">
        <f>6.6+1.5</f>
        <v>8.1</v>
      </c>
      <c r="BB22" s="13">
        <f t="shared" si="11"/>
        <v>22.000000000000007</v>
      </c>
      <c r="BC22" s="62">
        <v>10</v>
      </c>
      <c r="BD22" s="143">
        <f>5.4+4.1+2.1+3.1+1+0.2</f>
        <v>15.899999999999999</v>
      </c>
      <c r="BE22" s="13">
        <f t="shared" si="12"/>
        <v>16.100000000000009</v>
      </c>
      <c r="BF22" s="62"/>
      <c r="BG22" s="143">
        <f>0.2</f>
        <v>0.2</v>
      </c>
      <c r="BH22" s="13">
        <f t="shared" si="13"/>
        <v>15.900000000000009</v>
      </c>
      <c r="BI22" s="62">
        <v>10</v>
      </c>
      <c r="BJ22" s="143">
        <f>2+2.9+2.8+0.9</f>
        <v>8.6</v>
      </c>
      <c r="BK22" s="13">
        <f t="shared" si="14"/>
        <v>17.300000000000011</v>
      </c>
      <c r="BL22" s="62"/>
      <c r="BM22" s="143">
        <f>4.1+3.4+1.3+1</f>
        <v>9.8000000000000007</v>
      </c>
      <c r="BN22" s="13">
        <f t="shared" si="15"/>
        <v>7.5000000000000107</v>
      </c>
      <c r="BO22" s="62"/>
      <c r="BP22" s="143">
        <v>0.2</v>
      </c>
      <c r="BQ22" s="13">
        <f t="shared" si="16"/>
        <v>7.3000000000000105</v>
      </c>
      <c r="BR22" s="62"/>
      <c r="BS22" s="143"/>
      <c r="BT22" s="13">
        <f t="shared" si="17"/>
        <v>7.3000000000000105</v>
      </c>
      <c r="BU22" s="62"/>
      <c r="BV22" s="143">
        <f>2.5+1</f>
        <v>3.5</v>
      </c>
      <c r="BW22" s="13">
        <f t="shared" si="18"/>
        <v>3.8000000000000105</v>
      </c>
      <c r="BX22" s="62">
        <v>10</v>
      </c>
      <c r="BY22" s="143">
        <f>2+0.2</f>
        <v>2.2000000000000002</v>
      </c>
      <c r="BZ22" s="13">
        <f t="shared" si="19"/>
        <v>11.600000000000012</v>
      </c>
      <c r="CA22" s="62"/>
      <c r="CB22" s="143">
        <f>2.7+1.4+3.7</f>
        <v>7.8</v>
      </c>
      <c r="CC22" s="13">
        <f t="shared" si="20"/>
        <v>3.8000000000000123</v>
      </c>
      <c r="CD22" s="62">
        <v>10</v>
      </c>
      <c r="CE22" s="143">
        <f>0.2+1</f>
        <v>1.2</v>
      </c>
      <c r="CF22" s="13">
        <f t="shared" si="21"/>
        <v>12.600000000000012</v>
      </c>
      <c r="CG22" s="62">
        <v>10</v>
      </c>
      <c r="CH22" s="143">
        <f>0.6+1.6+2</f>
        <v>4.2</v>
      </c>
      <c r="CI22" s="13">
        <f t="shared" si="31"/>
        <v>18.400000000000013</v>
      </c>
      <c r="CJ22" s="62">
        <v>10</v>
      </c>
      <c r="CK22" s="143">
        <f>10+1+3</f>
        <v>14</v>
      </c>
      <c r="CL22" s="13">
        <f t="shared" si="32"/>
        <v>14.400000000000013</v>
      </c>
      <c r="CM22" s="62"/>
      <c r="CN22" s="143"/>
      <c r="CO22" s="13">
        <f t="shared" si="22"/>
        <v>14.400000000000013</v>
      </c>
      <c r="CP22" s="62"/>
      <c r="CQ22" s="143">
        <f>3</f>
        <v>3</v>
      </c>
      <c r="CR22" s="13">
        <f t="shared" si="33"/>
        <v>11.400000000000013</v>
      </c>
      <c r="CS22" s="62"/>
      <c r="CT22" s="143"/>
      <c r="CU22" s="14">
        <f t="shared" si="23"/>
        <v>11.400000000000013</v>
      </c>
      <c r="CV22" s="5">
        <f t="shared" si="24"/>
        <v>160</v>
      </c>
      <c r="CW22" s="4">
        <f t="shared" si="24"/>
        <v>154.49999999999997</v>
      </c>
      <c r="CX22" s="6">
        <f t="shared" si="25"/>
        <v>11.400000000000013</v>
      </c>
      <c r="CY22" s="162">
        <v>140</v>
      </c>
      <c r="CZ22" s="171">
        <f t="shared" si="26"/>
        <v>1596.0000000000018</v>
      </c>
      <c r="DB22" s="2">
        <f t="shared" si="34"/>
        <v>11.400000000000013</v>
      </c>
      <c r="DC22" s="62"/>
      <c r="DD22" s="143"/>
      <c r="DE22" s="149">
        <f t="shared" si="35"/>
        <v>11.400000000000013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42</v>
      </c>
      <c r="G23" s="62"/>
      <c r="H23" s="143"/>
      <c r="I23" s="13">
        <f t="shared" si="0"/>
        <v>42</v>
      </c>
      <c r="J23" s="62"/>
      <c r="K23" s="143">
        <f>1+2</f>
        <v>3</v>
      </c>
      <c r="L23" s="13">
        <f t="shared" si="1"/>
        <v>39</v>
      </c>
      <c r="M23" s="62"/>
      <c r="N23" s="143">
        <f>18</f>
        <v>18</v>
      </c>
      <c r="O23" s="13">
        <f t="shared" si="2"/>
        <v>21</v>
      </c>
      <c r="P23" s="62"/>
      <c r="Q23" s="143"/>
      <c r="R23" s="13">
        <f t="shared" si="3"/>
        <v>21</v>
      </c>
      <c r="S23" s="62">
        <v>30</v>
      </c>
      <c r="T23" s="143">
        <f>1+14</f>
        <v>15</v>
      </c>
      <c r="U23" s="13">
        <f t="shared" si="4"/>
        <v>36</v>
      </c>
      <c r="V23" s="62">
        <v>30</v>
      </c>
      <c r="W23" s="143">
        <f>1+16</f>
        <v>17</v>
      </c>
      <c r="X23" s="13">
        <f t="shared" si="5"/>
        <v>49</v>
      </c>
      <c r="Y23" s="62"/>
      <c r="Z23" s="143">
        <f>8</f>
        <v>8</v>
      </c>
      <c r="AA23" s="13">
        <f t="shared" si="27"/>
        <v>41</v>
      </c>
      <c r="AB23" s="62"/>
      <c r="AC23" s="143"/>
      <c r="AD23" s="13">
        <f t="shared" si="28"/>
        <v>41</v>
      </c>
      <c r="AE23" s="62"/>
      <c r="AF23" s="143">
        <v>8</v>
      </c>
      <c r="AG23" s="13">
        <f t="shared" si="29"/>
        <v>33</v>
      </c>
      <c r="AH23" s="62"/>
      <c r="AI23" s="143">
        <f>12</f>
        <v>12</v>
      </c>
      <c r="AJ23" s="13">
        <f t="shared" si="30"/>
        <v>21</v>
      </c>
      <c r="AK23" s="62"/>
      <c r="AL23" s="143"/>
      <c r="AM23" s="13">
        <f t="shared" si="6"/>
        <v>21</v>
      </c>
      <c r="AN23" s="62">
        <v>20</v>
      </c>
      <c r="AO23" s="143">
        <f>6</f>
        <v>6</v>
      </c>
      <c r="AP23" s="13">
        <f t="shared" si="7"/>
        <v>35</v>
      </c>
      <c r="AQ23" s="62"/>
      <c r="AR23" s="143">
        <f>1+2</f>
        <v>3</v>
      </c>
      <c r="AS23" s="13">
        <f t="shared" si="8"/>
        <v>32</v>
      </c>
      <c r="AT23" s="62"/>
      <c r="AU23" s="143">
        <f>12</f>
        <v>12</v>
      </c>
      <c r="AV23" s="13">
        <f t="shared" si="9"/>
        <v>20</v>
      </c>
      <c r="AW23" s="62"/>
      <c r="AX23" s="143"/>
      <c r="AY23" s="13">
        <f t="shared" si="10"/>
        <v>20</v>
      </c>
      <c r="AZ23" s="62">
        <v>30</v>
      </c>
      <c r="BA23" s="143">
        <v>6</v>
      </c>
      <c r="BB23" s="13">
        <f t="shared" si="11"/>
        <v>44</v>
      </c>
      <c r="BC23" s="62"/>
      <c r="BD23" s="143">
        <f>10</f>
        <v>10</v>
      </c>
      <c r="BE23" s="13">
        <f t="shared" si="12"/>
        <v>34</v>
      </c>
      <c r="BF23" s="62"/>
      <c r="BG23" s="143"/>
      <c r="BH23" s="13">
        <f t="shared" si="13"/>
        <v>34</v>
      </c>
      <c r="BI23" s="62"/>
      <c r="BJ23" s="143">
        <v>3</v>
      </c>
      <c r="BK23" s="13">
        <f t="shared" si="14"/>
        <v>31</v>
      </c>
      <c r="BL23" s="62">
        <v>30</v>
      </c>
      <c r="BM23" s="143">
        <f>1+12</f>
        <v>13</v>
      </c>
      <c r="BN23" s="13">
        <f t="shared" si="15"/>
        <v>48</v>
      </c>
      <c r="BO23" s="62"/>
      <c r="BP23" s="143">
        <f>12</f>
        <v>12</v>
      </c>
      <c r="BQ23" s="13">
        <f t="shared" si="16"/>
        <v>36</v>
      </c>
      <c r="BR23" s="62"/>
      <c r="BS23" s="143"/>
      <c r="BT23" s="13">
        <f t="shared" si="17"/>
        <v>36</v>
      </c>
      <c r="BU23" s="62"/>
      <c r="BV23" s="143">
        <v>10</v>
      </c>
      <c r="BW23" s="13">
        <f t="shared" si="18"/>
        <v>26</v>
      </c>
      <c r="BX23" s="62"/>
      <c r="BY23" s="143">
        <v>5</v>
      </c>
      <c r="BZ23" s="13">
        <f t="shared" si="19"/>
        <v>21</v>
      </c>
      <c r="CA23" s="62"/>
      <c r="CB23" s="143">
        <f>1</f>
        <v>1</v>
      </c>
      <c r="CC23" s="13">
        <f t="shared" si="20"/>
        <v>20</v>
      </c>
      <c r="CD23" s="62">
        <v>30</v>
      </c>
      <c r="CE23" s="143">
        <f>14</f>
        <v>14</v>
      </c>
      <c r="CF23" s="13">
        <f t="shared" si="21"/>
        <v>36</v>
      </c>
      <c r="CG23" s="62"/>
      <c r="CH23" s="143">
        <f>1+8</f>
        <v>9</v>
      </c>
      <c r="CI23" s="13">
        <f t="shared" si="31"/>
        <v>27</v>
      </c>
      <c r="CJ23" s="62">
        <v>30</v>
      </c>
      <c r="CK23" s="143">
        <v>12</v>
      </c>
      <c r="CL23" s="13">
        <f t="shared" si="32"/>
        <v>45</v>
      </c>
      <c r="CM23" s="62"/>
      <c r="CN23" s="143"/>
      <c r="CO23" s="13">
        <f t="shared" si="22"/>
        <v>45</v>
      </c>
      <c r="CP23" s="62"/>
      <c r="CQ23" s="143">
        <v>12</v>
      </c>
      <c r="CR23" s="13">
        <f t="shared" si="33"/>
        <v>33</v>
      </c>
      <c r="CS23" s="62"/>
      <c r="CT23" s="143"/>
      <c r="CU23" s="14">
        <f t="shared" si="23"/>
        <v>33</v>
      </c>
      <c r="CV23" s="5">
        <f t="shared" si="24"/>
        <v>200</v>
      </c>
      <c r="CW23" s="4">
        <f t="shared" si="24"/>
        <v>209</v>
      </c>
      <c r="CX23" s="6">
        <f t="shared" si="25"/>
        <v>33</v>
      </c>
      <c r="CY23" s="162">
        <v>180</v>
      </c>
      <c r="CZ23" s="171">
        <f t="shared" si="26"/>
        <v>5940</v>
      </c>
      <c r="DB23" s="2">
        <f t="shared" si="34"/>
        <v>33</v>
      </c>
      <c r="DC23" s="61"/>
      <c r="DD23" s="143"/>
      <c r="DE23" s="149">
        <f t="shared" si="35"/>
        <v>33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9</v>
      </c>
      <c r="G24" s="62"/>
      <c r="H24" s="143"/>
      <c r="I24" s="13">
        <f t="shared" si="0"/>
        <v>9</v>
      </c>
      <c r="J24" s="62"/>
      <c r="K24" s="143">
        <f>3</f>
        <v>3</v>
      </c>
      <c r="L24" s="13">
        <f t="shared" si="1"/>
        <v>6</v>
      </c>
      <c r="M24" s="62"/>
      <c r="N24" s="143"/>
      <c r="O24" s="13">
        <f t="shared" si="2"/>
        <v>6</v>
      </c>
      <c r="P24" s="62"/>
      <c r="Q24" s="143"/>
      <c r="R24" s="30">
        <f t="shared" si="3"/>
        <v>6</v>
      </c>
      <c r="S24" s="62"/>
      <c r="T24" s="143"/>
      <c r="U24" s="13">
        <f t="shared" si="4"/>
        <v>6</v>
      </c>
      <c r="V24" s="62"/>
      <c r="W24" s="143"/>
      <c r="X24" s="13">
        <f t="shared" si="5"/>
        <v>6</v>
      </c>
      <c r="Y24" s="62"/>
      <c r="Z24" s="143"/>
      <c r="AA24" s="13">
        <f t="shared" si="27"/>
        <v>6</v>
      </c>
      <c r="AB24" s="62"/>
      <c r="AC24" s="143"/>
      <c r="AD24" s="13">
        <f t="shared" si="28"/>
        <v>6</v>
      </c>
      <c r="AE24" s="62"/>
      <c r="AF24" s="143"/>
      <c r="AG24" s="13">
        <f t="shared" si="29"/>
        <v>6</v>
      </c>
      <c r="AH24" s="62"/>
      <c r="AI24" s="143"/>
      <c r="AJ24" s="13">
        <f t="shared" si="30"/>
        <v>6</v>
      </c>
      <c r="AK24" s="62"/>
      <c r="AL24" s="143"/>
      <c r="AM24" s="13">
        <f t="shared" si="6"/>
        <v>6</v>
      </c>
      <c r="AN24" s="62"/>
      <c r="AO24" s="143"/>
      <c r="AP24" s="13">
        <f t="shared" si="7"/>
        <v>6</v>
      </c>
      <c r="AQ24" s="62"/>
      <c r="AR24" s="143">
        <f>2</f>
        <v>2</v>
      </c>
      <c r="AS24" s="13">
        <f t="shared" si="8"/>
        <v>4</v>
      </c>
      <c r="AT24" s="62"/>
      <c r="AU24" s="143"/>
      <c r="AV24" s="13">
        <f t="shared" si="9"/>
        <v>4</v>
      </c>
      <c r="AW24" s="62"/>
      <c r="AX24" s="143"/>
      <c r="AY24" s="13">
        <f t="shared" si="10"/>
        <v>4</v>
      </c>
      <c r="AZ24" s="62"/>
      <c r="BA24" s="143"/>
      <c r="BB24" s="13">
        <f t="shared" si="11"/>
        <v>4</v>
      </c>
      <c r="BC24" s="62"/>
      <c r="BD24" s="143"/>
      <c r="BE24" s="13">
        <f t="shared" si="12"/>
        <v>4</v>
      </c>
      <c r="BF24" s="62"/>
      <c r="BG24" s="143"/>
      <c r="BH24" s="13">
        <f t="shared" si="13"/>
        <v>4</v>
      </c>
      <c r="BI24" s="62"/>
      <c r="BJ24" s="143"/>
      <c r="BK24" s="13">
        <f t="shared" si="14"/>
        <v>4</v>
      </c>
      <c r="BL24" s="62"/>
      <c r="BM24" s="143"/>
      <c r="BN24" s="13">
        <f t="shared" si="15"/>
        <v>4</v>
      </c>
      <c r="BO24" s="62"/>
      <c r="BP24" s="143"/>
      <c r="BQ24" s="13">
        <f t="shared" si="16"/>
        <v>4</v>
      </c>
      <c r="BR24" s="62"/>
      <c r="BS24" s="143"/>
      <c r="BT24" s="13">
        <f t="shared" si="17"/>
        <v>4</v>
      </c>
      <c r="BU24" s="62"/>
      <c r="BV24" s="143"/>
      <c r="BW24" s="13">
        <f t="shared" si="18"/>
        <v>4</v>
      </c>
      <c r="BX24" s="62"/>
      <c r="BY24" s="143"/>
      <c r="BZ24" s="13">
        <f t="shared" si="19"/>
        <v>4</v>
      </c>
      <c r="CA24" s="62">
        <v>1</v>
      </c>
      <c r="CB24" s="143"/>
      <c r="CC24" s="13">
        <f t="shared" si="20"/>
        <v>5</v>
      </c>
      <c r="CD24" s="62">
        <v>9</v>
      </c>
      <c r="CE24" s="143">
        <f>5</f>
        <v>5</v>
      </c>
      <c r="CF24" s="13">
        <f t="shared" si="21"/>
        <v>9</v>
      </c>
      <c r="CG24" s="62"/>
      <c r="CH24" s="143">
        <v>1</v>
      </c>
      <c r="CI24" s="13">
        <f t="shared" si="31"/>
        <v>8</v>
      </c>
      <c r="CJ24" s="62"/>
      <c r="CK24" s="143">
        <f>3</f>
        <v>3</v>
      </c>
      <c r="CL24" s="13">
        <f t="shared" si="32"/>
        <v>5</v>
      </c>
      <c r="CM24" s="62"/>
      <c r="CN24" s="143"/>
      <c r="CO24" s="13">
        <f t="shared" si="22"/>
        <v>5</v>
      </c>
      <c r="CP24" s="62"/>
      <c r="CQ24" s="143">
        <f>4</f>
        <v>4</v>
      </c>
      <c r="CR24" s="13">
        <f t="shared" si="33"/>
        <v>1</v>
      </c>
      <c r="CS24" s="62"/>
      <c r="CT24" s="143"/>
      <c r="CU24" s="14">
        <f t="shared" si="23"/>
        <v>1</v>
      </c>
      <c r="CV24" s="5">
        <f t="shared" si="24"/>
        <v>10</v>
      </c>
      <c r="CW24" s="4">
        <f t="shared" si="24"/>
        <v>18</v>
      </c>
      <c r="CX24" s="6">
        <f t="shared" si="25"/>
        <v>1</v>
      </c>
      <c r="CY24" s="162">
        <v>48</v>
      </c>
      <c r="CZ24" s="171">
        <f t="shared" si="26"/>
        <v>48</v>
      </c>
      <c r="DB24" s="2">
        <f t="shared" si="34"/>
        <v>1</v>
      </c>
      <c r="DC24" s="61"/>
      <c r="DD24" s="143"/>
      <c r="DE24" s="149">
        <f t="shared" si="35"/>
        <v>1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4</v>
      </c>
      <c r="G25" s="62"/>
      <c r="H25" s="143"/>
      <c r="I25" s="13">
        <f t="shared" si="0"/>
        <v>4</v>
      </c>
      <c r="J25" s="62">
        <v>10</v>
      </c>
      <c r="K25" s="143">
        <f>1.5+0.5</f>
        <v>2</v>
      </c>
      <c r="L25" s="13">
        <f t="shared" si="1"/>
        <v>12</v>
      </c>
      <c r="M25" s="62"/>
      <c r="N25" s="143">
        <f>2</f>
        <v>2</v>
      </c>
      <c r="O25" s="13">
        <f t="shared" si="2"/>
        <v>10</v>
      </c>
      <c r="P25" s="62"/>
      <c r="Q25" s="143"/>
      <c r="R25" s="30">
        <f t="shared" si="3"/>
        <v>10</v>
      </c>
      <c r="S25" s="62">
        <v>10</v>
      </c>
      <c r="T25" s="143">
        <f>3+1</f>
        <v>4</v>
      </c>
      <c r="U25" s="13">
        <f t="shared" si="4"/>
        <v>16</v>
      </c>
      <c r="V25" s="62"/>
      <c r="W25" s="143">
        <f>3</f>
        <v>3</v>
      </c>
      <c r="X25" s="13">
        <f t="shared" si="5"/>
        <v>13</v>
      </c>
      <c r="Y25" s="62">
        <v>10</v>
      </c>
      <c r="Z25" s="143">
        <f>3+1.5+1+1+2+3</f>
        <v>11.5</v>
      </c>
      <c r="AA25" s="13">
        <f t="shared" si="27"/>
        <v>11.5</v>
      </c>
      <c r="AB25" s="62"/>
      <c r="AC25" s="143"/>
      <c r="AD25" s="13">
        <f t="shared" si="28"/>
        <v>11.5</v>
      </c>
      <c r="AE25" s="62"/>
      <c r="AF25" s="143"/>
      <c r="AG25" s="13">
        <f t="shared" si="29"/>
        <v>11.5</v>
      </c>
      <c r="AH25" s="62">
        <v>10</v>
      </c>
      <c r="AI25" s="143">
        <f>4+1.5+1</f>
        <v>6.5</v>
      </c>
      <c r="AJ25" s="13">
        <f t="shared" si="30"/>
        <v>15</v>
      </c>
      <c r="AK25" s="62"/>
      <c r="AL25" s="143"/>
      <c r="AM25" s="13">
        <f t="shared" si="6"/>
        <v>15</v>
      </c>
      <c r="AN25" s="62"/>
      <c r="AO25" s="143">
        <f>2+2.5+1.5</f>
        <v>6</v>
      </c>
      <c r="AP25" s="13">
        <f t="shared" si="7"/>
        <v>9</v>
      </c>
      <c r="AQ25" s="62"/>
      <c r="AR25" s="143"/>
      <c r="AS25" s="13">
        <f t="shared" si="8"/>
        <v>9</v>
      </c>
      <c r="AT25" s="62">
        <v>10</v>
      </c>
      <c r="AU25" s="143">
        <f>2+1+2</f>
        <v>5</v>
      </c>
      <c r="AV25" s="13">
        <f t="shared" si="9"/>
        <v>14</v>
      </c>
      <c r="AW25" s="62"/>
      <c r="AX25" s="143"/>
      <c r="AY25" s="13">
        <f t="shared" si="10"/>
        <v>14</v>
      </c>
      <c r="AZ25" s="62"/>
      <c r="BA25" s="143">
        <f>1.5+1.5+1+1.5</f>
        <v>5.5</v>
      </c>
      <c r="BB25" s="13">
        <f t="shared" si="11"/>
        <v>8.5</v>
      </c>
      <c r="BC25" s="62">
        <v>10</v>
      </c>
      <c r="BD25" s="143">
        <f>3+1+0.5</f>
        <v>4.5</v>
      </c>
      <c r="BE25" s="13">
        <f t="shared" si="12"/>
        <v>14</v>
      </c>
      <c r="BF25" s="62"/>
      <c r="BG25" s="143"/>
      <c r="BH25" s="13">
        <f t="shared" si="13"/>
        <v>14</v>
      </c>
      <c r="BI25" s="62"/>
      <c r="BJ25" s="143">
        <v>6</v>
      </c>
      <c r="BK25" s="13">
        <f t="shared" si="14"/>
        <v>8</v>
      </c>
      <c r="BL25" s="62">
        <v>10</v>
      </c>
      <c r="BM25" s="143">
        <f>3</f>
        <v>3</v>
      </c>
      <c r="BN25" s="13">
        <f t="shared" si="15"/>
        <v>15</v>
      </c>
      <c r="BO25" s="62"/>
      <c r="BP25" s="143">
        <f>2</f>
        <v>2</v>
      </c>
      <c r="BQ25" s="13">
        <f t="shared" si="16"/>
        <v>13</v>
      </c>
      <c r="BR25" s="62"/>
      <c r="BS25" s="143"/>
      <c r="BT25" s="13">
        <f t="shared" si="17"/>
        <v>13</v>
      </c>
      <c r="BU25" s="62"/>
      <c r="BV25" s="143">
        <f>1</f>
        <v>1</v>
      </c>
      <c r="BW25" s="13">
        <f t="shared" si="18"/>
        <v>12</v>
      </c>
      <c r="BX25" s="62">
        <v>20</v>
      </c>
      <c r="BY25" s="143">
        <f>2+1+1+1.5+1.5+2+2</f>
        <v>11</v>
      </c>
      <c r="BZ25" s="13">
        <f t="shared" si="19"/>
        <v>21</v>
      </c>
      <c r="CA25" s="62"/>
      <c r="CB25" s="143">
        <f>1+1+1+2+3</f>
        <v>8</v>
      </c>
      <c r="CC25" s="13">
        <f t="shared" si="20"/>
        <v>13</v>
      </c>
      <c r="CD25" s="62"/>
      <c r="CE25" s="143">
        <f>1</f>
        <v>1</v>
      </c>
      <c r="CF25" s="13">
        <f t="shared" si="21"/>
        <v>12</v>
      </c>
      <c r="CG25" s="62"/>
      <c r="CH25" s="143">
        <v>2</v>
      </c>
      <c r="CI25" s="13">
        <f t="shared" si="31"/>
        <v>10</v>
      </c>
      <c r="CJ25" s="62"/>
      <c r="CK25" s="143">
        <f>2+1+1</f>
        <v>4</v>
      </c>
      <c r="CL25" s="13">
        <f t="shared" si="32"/>
        <v>6</v>
      </c>
      <c r="CM25" s="62"/>
      <c r="CN25" s="143"/>
      <c r="CO25" s="13">
        <f t="shared" si="22"/>
        <v>6</v>
      </c>
      <c r="CP25" s="62"/>
      <c r="CQ25" s="143">
        <f>1.5+1+1.5+1</f>
        <v>5</v>
      </c>
      <c r="CR25" s="13">
        <f t="shared" si="33"/>
        <v>1</v>
      </c>
      <c r="CS25" s="62"/>
      <c r="CT25" s="143"/>
      <c r="CU25" s="14">
        <f t="shared" si="23"/>
        <v>1</v>
      </c>
      <c r="CV25" s="5">
        <f t="shared" si="24"/>
        <v>90</v>
      </c>
      <c r="CW25" s="4">
        <f t="shared" si="24"/>
        <v>93</v>
      </c>
      <c r="CX25" s="6">
        <f t="shared" si="25"/>
        <v>1</v>
      </c>
      <c r="CY25" s="162">
        <v>170</v>
      </c>
      <c r="CZ25" s="171">
        <f t="shared" si="26"/>
        <v>170</v>
      </c>
      <c r="DB25" s="2">
        <f t="shared" si="34"/>
        <v>1</v>
      </c>
      <c r="DC25" s="61"/>
      <c r="DD25" s="143"/>
      <c r="DE25" s="149">
        <f t="shared" si="35"/>
        <v>1</v>
      </c>
    </row>
    <row r="26" spans="1:109" ht="15.75" customHeight="1">
      <c r="A26" s="33"/>
      <c r="B26" s="7" t="s">
        <v>64</v>
      </c>
      <c r="C26" s="105" t="s">
        <v>65</v>
      </c>
      <c r="D26" s="35" t="s">
        <v>302</v>
      </c>
      <c r="E26" s="35" t="s">
        <v>51</v>
      </c>
      <c r="F26" s="14">
        <v>10</v>
      </c>
      <c r="G26" s="62"/>
      <c r="H26" s="143"/>
      <c r="I26" s="13">
        <f t="shared" si="0"/>
        <v>10</v>
      </c>
      <c r="J26" s="62">
        <v>2</v>
      </c>
      <c r="K26" s="143">
        <v>9</v>
      </c>
      <c r="L26" s="13">
        <f t="shared" si="1"/>
        <v>3</v>
      </c>
      <c r="M26" s="62">
        <f>-2+15+2</f>
        <v>15</v>
      </c>
      <c r="N26" s="143">
        <v>7</v>
      </c>
      <c r="O26" s="13">
        <f t="shared" si="2"/>
        <v>11</v>
      </c>
      <c r="P26" s="62"/>
      <c r="Q26" s="143"/>
      <c r="R26" s="30">
        <f t="shared" si="3"/>
        <v>11</v>
      </c>
      <c r="S26" s="62">
        <v>2</v>
      </c>
      <c r="T26" s="143">
        <v>3</v>
      </c>
      <c r="U26" s="13">
        <f t="shared" si="4"/>
        <v>10</v>
      </c>
      <c r="V26" s="62">
        <f>2+10</f>
        <v>12</v>
      </c>
      <c r="W26" s="143">
        <v>4</v>
      </c>
      <c r="X26" s="13">
        <f t="shared" si="5"/>
        <v>18</v>
      </c>
      <c r="Y26" s="62">
        <v>2</v>
      </c>
      <c r="Z26" s="143">
        <v>7</v>
      </c>
      <c r="AA26" s="13">
        <f t="shared" si="27"/>
        <v>13</v>
      </c>
      <c r="AB26" s="62"/>
      <c r="AC26" s="143"/>
      <c r="AD26" s="13">
        <f t="shared" si="28"/>
        <v>13</v>
      </c>
      <c r="AE26" s="62">
        <v>2</v>
      </c>
      <c r="AF26" s="143">
        <v>3</v>
      </c>
      <c r="AG26" s="13">
        <f t="shared" si="29"/>
        <v>12</v>
      </c>
      <c r="AH26" s="62">
        <v>2</v>
      </c>
      <c r="AI26" s="143">
        <v>8</v>
      </c>
      <c r="AJ26" s="13">
        <f t="shared" si="30"/>
        <v>6</v>
      </c>
      <c r="AK26" s="62"/>
      <c r="AL26" s="143"/>
      <c r="AM26" s="13">
        <f t="shared" si="6"/>
        <v>6</v>
      </c>
      <c r="AN26" s="62">
        <v>2</v>
      </c>
      <c r="AO26" s="143">
        <f>4</f>
        <v>4</v>
      </c>
      <c r="AP26" s="13">
        <f t="shared" si="7"/>
        <v>4</v>
      </c>
      <c r="AQ26" s="62">
        <f>15+2</f>
        <v>17</v>
      </c>
      <c r="AR26" s="143">
        <v>7</v>
      </c>
      <c r="AS26" s="13">
        <f t="shared" si="8"/>
        <v>14</v>
      </c>
      <c r="AT26" s="62">
        <v>2</v>
      </c>
      <c r="AU26" s="143">
        <v>5</v>
      </c>
      <c r="AV26" s="13">
        <f t="shared" si="9"/>
        <v>11</v>
      </c>
      <c r="AW26" s="62"/>
      <c r="AX26" s="143"/>
      <c r="AY26" s="13">
        <f t="shared" si="10"/>
        <v>11</v>
      </c>
      <c r="AZ26" s="62">
        <f>2+10</f>
        <v>12</v>
      </c>
      <c r="BA26" s="143">
        <v>4</v>
      </c>
      <c r="BB26" s="13">
        <f t="shared" si="11"/>
        <v>19</v>
      </c>
      <c r="BC26" s="62">
        <v>2</v>
      </c>
      <c r="BD26" s="143">
        <v>6</v>
      </c>
      <c r="BE26" s="13">
        <f t="shared" si="12"/>
        <v>15</v>
      </c>
      <c r="BF26" s="62"/>
      <c r="BG26" s="143"/>
      <c r="BH26" s="13">
        <f t="shared" si="13"/>
        <v>15</v>
      </c>
      <c r="BI26" s="62">
        <v>2</v>
      </c>
      <c r="BJ26" s="143">
        <v>6</v>
      </c>
      <c r="BK26" s="13">
        <f t="shared" si="14"/>
        <v>11</v>
      </c>
      <c r="BL26" s="62">
        <f>2+8</f>
        <v>10</v>
      </c>
      <c r="BM26" s="143">
        <v>6</v>
      </c>
      <c r="BN26" s="13">
        <f t="shared" si="15"/>
        <v>15</v>
      </c>
      <c r="BO26" s="62">
        <v>2</v>
      </c>
      <c r="BP26" s="143">
        <v>7</v>
      </c>
      <c r="BQ26" s="13">
        <f t="shared" si="16"/>
        <v>10</v>
      </c>
      <c r="BR26" s="62"/>
      <c r="BS26" s="143"/>
      <c r="BT26" s="13">
        <f t="shared" si="17"/>
        <v>10</v>
      </c>
      <c r="BU26" s="62">
        <f>2+10</f>
        <v>12</v>
      </c>
      <c r="BV26" s="143">
        <v>3</v>
      </c>
      <c r="BW26" s="13">
        <f t="shared" si="18"/>
        <v>19</v>
      </c>
      <c r="BX26" s="62">
        <v>2</v>
      </c>
      <c r="BY26" s="143">
        <v>9</v>
      </c>
      <c r="BZ26" s="13">
        <f t="shared" si="19"/>
        <v>12</v>
      </c>
      <c r="CA26" s="62"/>
      <c r="CB26" s="143"/>
      <c r="CC26" s="13">
        <f t="shared" si="20"/>
        <v>12</v>
      </c>
      <c r="CD26" s="62">
        <v>2</v>
      </c>
      <c r="CE26" s="143">
        <v>5</v>
      </c>
      <c r="CF26" s="13">
        <f t="shared" si="21"/>
        <v>9</v>
      </c>
      <c r="CG26" s="62">
        <f>2+8</f>
        <v>10</v>
      </c>
      <c r="CH26" s="143">
        <v>3</v>
      </c>
      <c r="CI26" s="13">
        <f t="shared" si="31"/>
        <v>16</v>
      </c>
      <c r="CJ26" s="62">
        <v>2</v>
      </c>
      <c r="CK26" s="143">
        <v>7</v>
      </c>
      <c r="CL26" s="13">
        <f t="shared" si="32"/>
        <v>11</v>
      </c>
      <c r="CM26" s="62"/>
      <c r="CN26" s="143"/>
      <c r="CO26" s="13">
        <f t="shared" si="22"/>
        <v>11</v>
      </c>
      <c r="CP26" s="62">
        <v>2</v>
      </c>
      <c r="CQ26" s="143">
        <v>6</v>
      </c>
      <c r="CR26" s="13">
        <f t="shared" si="33"/>
        <v>7</v>
      </c>
      <c r="CS26" s="62"/>
      <c r="CT26" s="143"/>
      <c r="CU26" s="14">
        <f t="shared" si="23"/>
        <v>7</v>
      </c>
      <c r="CV26" s="5">
        <f t="shared" si="24"/>
        <v>116</v>
      </c>
      <c r="CW26" s="4">
        <f t="shared" si="24"/>
        <v>119</v>
      </c>
      <c r="CX26" s="6">
        <f t="shared" si="25"/>
        <v>7</v>
      </c>
      <c r="CY26" s="162">
        <v>4200</v>
      </c>
      <c r="CZ26" s="171">
        <f t="shared" si="26"/>
        <v>29400</v>
      </c>
      <c r="DB26" s="2">
        <f t="shared" si="34"/>
        <v>7</v>
      </c>
      <c r="DC26" s="61"/>
      <c r="DD26" s="143"/>
      <c r="DE26" s="149">
        <f t="shared" si="35"/>
        <v>7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37.419999999999995</v>
      </c>
      <c r="G27" s="62"/>
      <c r="H27" s="143"/>
      <c r="I27" s="13">
        <f t="shared" si="0"/>
        <v>37.419999999999995</v>
      </c>
      <c r="J27" s="62">
        <v>40</v>
      </c>
      <c r="K27" s="143">
        <f>0.15+1.5+1.1+0.6+1.8+1.2+5+2.9+1.4+1.3+2+2.3+2</f>
        <v>23.250000000000004</v>
      </c>
      <c r="L27" s="13">
        <f t="shared" si="1"/>
        <v>54.169999999999987</v>
      </c>
      <c r="M27" s="62">
        <v>40</v>
      </c>
      <c r="N27" s="143">
        <f>3.9+3.5+3.2+3.6+2.6+0.8+1.1+3.1+10</f>
        <v>31.800000000000004</v>
      </c>
      <c r="O27" s="13">
        <f t="shared" si="2"/>
        <v>62.369999999999983</v>
      </c>
      <c r="P27" s="62"/>
      <c r="Q27" s="143">
        <f>1.1+1.2+1.1+0.8</f>
        <v>4.2</v>
      </c>
      <c r="R27" s="30">
        <f t="shared" si="3"/>
        <v>58.16999999999998</v>
      </c>
      <c r="S27" s="62"/>
      <c r="T27" s="143">
        <f>10.2+5.2+0.8+3.1+3.6+3.1+1+0.3</f>
        <v>27.300000000000004</v>
      </c>
      <c r="U27" s="13">
        <f t="shared" si="4"/>
        <v>30.869999999999976</v>
      </c>
      <c r="V27" s="62"/>
      <c r="W27" s="143">
        <f>0.4+0.4+0.1+0.1+0.1+0.5+1.3</f>
        <v>2.9000000000000004</v>
      </c>
      <c r="X27" s="13">
        <f t="shared" si="5"/>
        <v>27.969999999999978</v>
      </c>
      <c r="Y27" s="62">
        <v>40</v>
      </c>
      <c r="Z27" s="143">
        <f>0.5+1.1+1.6+1.3+2+0.8+1.5+1.4+2.7+1.1+4</f>
        <v>18</v>
      </c>
      <c r="AA27" s="13">
        <f t="shared" si="27"/>
        <v>49.96999999999997</v>
      </c>
      <c r="AB27" s="62"/>
      <c r="AC27" s="143"/>
      <c r="AD27" s="13">
        <f t="shared" si="28"/>
        <v>49.96999999999997</v>
      </c>
      <c r="AE27" s="62"/>
      <c r="AF27" s="143"/>
      <c r="AG27" s="13">
        <f t="shared" si="29"/>
        <v>49.96999999999997</v>
      </c>
      <c r="AH27" s="62">
        <v>40</v>
      </c>
      <c r="AI27" s="143">
        <f>10+4.9+1.8+2.3+3.4+2.3+0.2+4.8+0.6</f>
        <v>30.3</v>
      </c>
      <c r="AJ27" s="13">
        <f t="shared" si="30"/>
        <v>59.669999999999973</v>
      </c>
      <c r="AK27" s="62"/>
      <c r="AL27" s="143">
        <f>2+0.7+1.5+1.4+1</f>
        <v>6.6</v>
      </c>
      <c r="AM27" s="13">
        <f t="shared" si="6"/>
        <v>53.069999999999972</v>
      </c>
      <c r="AN27" s="62"/>
      <c r="AO27" s="143">
        <f>10+2.5+1.4+1.4+1.1+1.3+1.1+1.8+10+4</f>
        <v>34.600000000000009</v>
      </c>
      <c r="AP27" s="13">
        <f t="shared" si="7"/>
        <v>18.469999999999963</v>
      </c>
      <c r="AQ27" s="62">
        <v>60</v>
      </c>
      <c r="AR27" s="143">
        <f>1.3+0.3+0.2+0.3+0.3+0.2+0.4+0.5+5</f>
        <v>8.5</v>
      </c>
      <c r="AS27" s="13">
        <f t="shared" si="8"/>
        <v>69.96999999999997</v>
      </c>
      <c r="AT27" s="62"/>
      <c r="AU27" s="143">
        <f>10.2+0.8+1.8+12.3</f>
        <v>25.1</v>
      </c>
      <c r="AV27" s="13">
        <f t="shared" si="9"/>
        <v>44.869999999999969</v>
      </c>
      <c r="AW27" s="62"/>
      <c r="AX27" s="143"/>
      <c r="AY27" s="13">
        <f t="shared" si="10"/>
        <v>44.869999999999969</v>
      </c>
      <c r="AZ27" s="62">
        <v>20</v>
      </c>
      <c r="BA27" s="143">
        <f>0.3+1.2+1.9+2+1.9+3.1+2+0.9+1.5</f>
        <v>14.8</v>
      </c>
      <c r="BB27" s="13">
        <f t="shared" si="11"/>
        <v>50.069999999999979</v>
      </c>
      <c r="BC27" s="62">
        <v>20</v>
      </c>
      <c r="BD27" s="143">
        <f>4.1+3.5+1.2+1.5+1.5+0.7+1+7.4+0.5</f>
        <v>21.4</v>
      </c>
      <c r="BE27" s="13">
        <f t="shared" si="12"/>
        <v>48.66999999999998</v>
      </c>
      <c r="BF27" s="62"/>
      <c r="BG27" s="143">
        <f>1.1+1.1+0.9+0.9+3.5</f>
        <v>7.5</v>
      </c>
      <c r="BH27" s="13">
        <f t="shared" si="13"/>
        <v>41.16999999999998</v>
      </c>
      <c r="BI27" s="62">
        <v>40</v>
      </c>
      <c r="BJ27" s="143">
        <f>12.3+6.7</f>
        <v>19</v>
      </c>
      <c r="BK27" s="13">
        <f t="shared" si="14"/>
        <v>62.169999999999987</v>
      </c>
      <c r="BL27" s="62"/>
      <c r="BM27" s="143">
        <f>0.4+0.6+0.2+0.2+0.2+2.5</f>
        <v>4.0999999999999996</v>
      </c>
      <c r="BN27" s="13">
        <f t="shared" si="15"/>
        <v>58.069999999999986</v>
      </c>
      <c r="BO27" s="62"/>
      <c r="BP27" s="143">
        <f>10+0.8+1.2</f>
        <v>12</v>
      </c>
      <c r="BQ27" s="13">
        <f t="shared" si="16"/>
        <v>46.069999999999986</v>
      </c>
      <c r="BR27" s="62"/>
      <c r="BS27" s="143"/>
      <c r="BT27" s="13">
        <f t="shared" si="17"/>
        <v>46.069999999999986</v>
      </c>
      <c r="BU27" s="62">
        <v>40</v>
      </c>
      <c r="BV27" s="143">
        <f>1.4+1.8+1.1+1.5+1.1+4.7</f>
        <v>11.600000000000001</v>
      </c>
      <c r="BW27" s="13">
        <f t="shared" si="18"/>
        <v>74.47</v>
      </c>
      <c r="BX27" s="62"/>
      <c r="BY27" s="143">
        <f>4+1.8+2.7+0.5+2.6+3.3+0.5</f>
        <v>15.399999999999999</v>
      </c>
      <c r="BZ27" s="13">
        <f t="shared" si="19"/>
        <v>59.07</v>
      </c>
      <c r="CA27" s="62"/>
      <c r="CB27" s="143">
        <f>2+0.7+4+10.2+2.3+1.4+1.7+1.3</f>
        <v>23.599999999999998</v>
      </c>
      <c r="CC27" s="13">
        <f t="shared" si="20"/>
        <v>35.47</v>
      </c>
      <c r="CD27" s="62"/>
      <c r="CE27" s="143">
        <f>1.8+1.1</f>
        <v>2.9000000000000004</v>
      </c>
      <c r="CF27" s="13">
        <f t="shared" si="21"/>
        <v>32.57</v>
      </c>
      <c r="CG27" s="62">
        <v>20</v>
      </c>
      <c r="CH27" s="143">
        <f>1.3+0.3+0.2+0.2+0.2+0.2+0.2+0.2+5+3.6</f>
        <v>11.4</v>
      </c>
      <c r="CI27" s="13">
        <f t="shared" si="31"/>
        <v>41.17</v>
      </c>
      <c r="CJ27" s="62"/>
      <c r="CK27" s="143">
        <f>0.7+1+1.6</f>
        <v>3.3</v>
      </c>
      <c r="CL27" s="13">
        <f t="shared" si="32"/>
        <v>37.870000000000005</v>
      </c>
      <c r="CM27" s="62"/>
      <c r="CN27" s="143"/>
      <c r="CO27" s="13">
        <f t="shared" si="22"/>
        <v>37.870000000000005</v>
      </c>
      <c r="CP27" s="62">
        <v>20</v>
      </c>
      <c r="CQ27" s="143">
        <f>0.3+1.5+0.3+0.8+2+1.1+1.2+1.4+3.2+1.3+6</f>
        <v>19.100000000000001</v>
      </c>
      <c r="CR27" s="13">
        <f t="shared" si="33"/>
        <v>38.770000000000003</v>
      </c>
      <c r="CS27" s="62"/>
      <c r="CT27" s="143"/>
      <c r="CU27" s="14">
        <f t="shared" si="23"/>
        <v>38.770000000000003</v>
      </c>
      <c r="CV27" s="5">
        <f t="shared" si="24"/>
        <v>380</v>
      </c>
      <c r="CW27" s="4">
        <f t="shared" si="24"/>
        <v>378.65000000000009</v>
      </c>
      <c r="CX27" s="6">
        <f t="shared" si="25"/>
        <v>38.770000000000003</v>
      </c>
      <c r="CY27" s="162">
        <v>16</v>
      </c>
      <c r="CZ27" s="171">
        <f t="shared" si="26"/>
        <v>620.32000000000005</v>
      </c>
      <c r="DB27" s="2">
        <f t="shared" si="34"/>
        <v>38.770000000000003</v>
      </c>
      <c r="DC27" s="61"/>
      <c r="DD27" s="143"/>
      <c r="DE27" s="149">
        <f t="shared" si="35"/>
        <v>38.770000000000003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0</v>
      </c>
      <c r="G28" s="62"/>
      <c r="H28" s="143"/>
      <c r="I28" s="13">
        <f t="shared" si="0"/>
        <v>0</v>
      </c>
      <c r="J28" s="62">
        <v>20</v>
      </c>
      <c r="K28" s="143"/>
      <c r="L28" s="13">
        <f t="shared" si="1"/>
        <v>20</v>
      </c>
      <c r="M28" s="62"/>
      <c r="N28" s="143">
        <v>1.2</v>
      </c>
      <c r="O28" s="13">
        <f t="shared" si="2"/>
        <v>18.8</v>
      </c>
      <c r="P28" s="62"/>
      <c r="Q28" s="143"/>
      <c r="R28" s="30">
        <f t="shared" si="3"/>
        <v>18.8</v>
      </c>
      <c r="S28" s="62"/>
      <c r="T28" s="143"/>
      <c r="U28" s="13">
        <f t="shared" si="4"/>
        <v>18.8</v>
      </c>
      <c r="V28" s="62"/>
      <c r="W28" s="143">
        <v>1</v>
      </c>
      <c r="X28" s="13">
        <f t="shared" si="5"/>
        <v>17.8</v>
      </c>
      <c r="Y28" s="62"/>
      <c r="Z28" s="143">
        <v>1.2</v>
      </c>
      <c r="AA28" s="13">
        <f t="shared" si="27"/>
        <v>16.600000000000001</v>
      </c>
      <c r="AB28" s="62"/>
      <c r="AC28" s="143"/>
      <c r="AD28" s="13">
        <f t="shared" si="28"/>
        <v>16.600000000000001</v>
      </c>
      <c r="AE28" s="62"/>
      <c r="AF28" s="143">
        <v>1.3</v>
      </c>
      <c r="AG28" s="13">
        <f t="shared" si="29"/>
        <v>15.3</v>
      </c>
      <c r="AH28" s="62"/>
      <c r="AI28" s="143"/>
      <c r="AJ28" s="13">
        <f t="shared" si="30"/>
        <v>15.3</v>
      </c>
      <c r="AK28" s="62"/>
      <c r="AL28" s="143"/>
      <c r="AM28" s="13">
        <f t="shared" si="6"/>
        <v>15.3</v>
      </c>
      <c r="AN28" s="62"/>
      <c r="AO28" s="143"/>
      <c r="AP28" s="13">
        <f t="shared" si="7"/>
        <v>15.3</v>
      </c>
      <c r="AQ28" s="62"/>
      <c r="AR28" s="143">
        <v>1</v>
      </c>
      <c r="AS28" s="13">
        <f t="shared" si="8"/>
        <v>14.3</v>
      </c>
      <c r="AT28" s="62"/>
      <c r="AU28" s="143">
        <v>1</v>
      </c>
      <c r="AV28" s="13">
        <f t="shared" si="9"/>
        <v>13.3</v>
      </c>
      <c r="AW28" s="62"/>
      <c r="AX28" s="143"/>
      <c r="AY28" s="13">
        <f t="shared" si="10"/>
        <v>13.3</v>
      </c>
      <c r="AZ28" s="62"/>
      <c r="BA28" s="143">
        <v>1.5</v>
      </c>
      <c r="BB28" s="13">
        <f t="shared" si="11"/>
        <v>11.8</v>
      </c>
      <c r="BC28" s="62"/>
      <c r="BD28" s="143">
        <f>3.5</f>
        <v>3.5</v>
      </c>
      <c r="BE28" s="13">
        <f t="shared" si="12"/>
        <v>8.3000000000000007</v>
      </c>
      <c r="BF28" s="62"/>
      <c r="BG28" s="143"/>
      <c r="BH28" s="13">
        <f t="shared" si="13"/>
        <v>8.3000000000000007</v>
      </c>
      <c r="BI28" s="62"/>
      <c r="BJ28" s="143">
        <f>2</f>
        <v>2</v>
      </c>
      <c r="BK28" s="13">
        <f t="shared" si="14"/>
        <v>6.3000000000000007</v>
      </c>
      <c r="BL28" s="62"/>
      <c r="BM28" s="143">
        <v>1</v>
      </c>
      <c r="BN28" s="13">
        <f t="shared" si="15"/>
        <v>5.3000000000000007</v>
      </c>
      <c r="BO28" s="62"/>
      <c r="BP28" s="143">
        <v>3</v>
      </c>
      <c r="BQ28" s="13">
        <f t="shared" si="16"/>
        <v>2.3000000000000007</v>
      </c>
      <c r="BR28" s="62"/>
      <c r="BS28" s="143"/>
      <c r="BT28" s="13">
        <f t="shared" si="17"/>
        <v>2.3000000000000007</v>
      </c>
      <c r="BU28" s="62">
        <v>20</v>
      </c>
      <c r="BV28" s="143">
        <v>1</v>
      </c>
      <c r="BW28" s="13">
        <f t="shared" si="18"/>
        <v>21.3</v>
      </c>
      <c r="BX28" s="62"/>
      <c r="BY28" s="143">
        <f>2.6</f>
        <v>2.6</v>
      </c>
      <c r="BZ28" s="13">
        <f t="shared" si="19"/>
        <v>18.7</v>
      </c>
      <c r="CA28" s="62"/>
      <c r="CB28" s="143"/>
      <c r="CC28" s="13">
        <f t="shared" si="20"/>
        <v>18.7</v>
      </c>
      <c r="CD28" s="62"/>
      <c r="CE28" s="143">
        <v>1</v>
      </c>
      <c r="CF28" s="13">
        <f t="shared" si="21"/>
        <v>17.7</v>
      </c>
      <c r="CG28" s="62"/>
      <c r="CH28" s="143">
        <v>1</v>
      </c>
      <c r="CI28" s="13">
        <f t="shared" si="31"/>
        <v>16.7</v>
      </c>
      <c r="CJ28" s="62"/>
      <c r="CK28" s="143">
        <v>3</v>
      </c>
      <c r="CL28" s="13">
        <f t="shared" si="32"/>
        <v>13.7</v>
      </c>
      <c r="CM28" s="62"/>
      <c r="CN28" s="143"/>
      <c r="CO28" s="13">
        <f t="shared" si="22"/>
        <v>13.7</v>
      </c>
      <c r="CP28" s="62"/>
      <c r="CQ28" s="143">
        <v>3</v>
      </c>
      <c r="CR28" s="13">
        <f t="shared" si="33"/>
        <v>10.7</v>
      </c>
      <c r="CS28" s="62"/>
      <c r="CT28" s="143"/>
      <c r="CU28" s="14">
        <f t="shared" si="23"/>
        <v>10.7</v>
      </c>
      <c r="CV28" s="5">
        <f t="shared" si="24"/>
        <v>40</v>
      </c>
      <c r="CW28" s="4">
        <f t="shared" si="24"/>
        <v>29.3</v>
      </c>
      <c r="CX28" s="6">
        <f t="shared" si="25"/>
        <v>10.7</v>
      </c>
      <c r="CY28" s="162">
        <v>80</v>
      </c>
      <c r="CZ28" s="171">
        <f t="shared" si="26"/>
        <v>856</v>
      </c>
      <c r="DB28" s="2">
        <f t="shared" si="34"/>
        <v>10.7</v>
      </c>
      <c r="DC28" s="61"/>
      <c r="DD28" s="143"/>
      <c r="DE28" s="149">
        <f t="shared" si="35"/>
        <v>10.7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17</v>
      </c>
      <c r="G29" s="62"/>
      <c r="H29" s="143"/>
      <c r="I29" s="13">
        <f t="shared" si="0"/>
        <v>17</v>
      </c>
      <c r="J29" s="62">
        <f>-23-20+60+40</f>
        <v>57</v>
      </c>
      <c r="K29" s="143">
        <f>5+4+8</f>
        <v>17</v>
      </c>
      <c r="L29" s="13">
        <f t="shared" si="1"/>
        <v>57</v>
      </c>
      <c r="M29" s="62">
        <f>-53+50+60</f>
        <v>57</v>
      </c>
      <c r="N29" s="143">
        <f>3+11+43</f>
        <v>57</v>
      </c>
      <c r="O29" s="13">
        <f t="shared" si="2"/>
        <v>57</v>
      </c>
      <c r="P29" s="62"/>
      <c r="Q29" s="143"/>
      <c r="R29" s="30">
        <f t="shared" si="3"/>
        <v>57</v>
      </c>
      <c r="S29" s="62">
        <f>-10+50+30</f>
        <v>70</v>
      </c>
      <c r="T29" s="143">
        <f>6+3+6+42</f>
        <v>57</v>
      </c>
      <c r="U29" s="13">
        <f t="shared" si="4"/>
        <v>70</v>
      </c>
      <c r="V29" s="62">
        <v>50</v>
      </c>
      <c r="W29" s="143">
        <f>3+2+53</f>
        <v>58</v>
      </c>
      <c r="X29" s="13">
        <f>U29+V29-W29</f>
        <v>62</v>
      </c>
      <c r="Y29" s="62">
        <f>-17+50+40</f>
        <v>73</v>
      </c>
      <c r="Z29" s="143">
        <f>6+7+49+10+4+4</f>
        <v>80</v>
      </c>
      <c r="AA29" s="13">
        <f t="shared" si="27"/>
        <v>55</v>
      </c>
      <c r="AB29" s="62"/>
      <c r="AC29" s="143"/>
      <c r="AD29" s="13">
        <f t="shared" si="28"/>
        <v>55</v>
      </c>
      <c r="AE29" s="62">
        <f>20+60</f>
        <v>80</v>
      </c>
      <c r="AF29" s="143">
        <f>3+3+49</f>
        <v>55</v>
      </c>
      <c r="AG29" s="13">
        <f>AD29+AE29-AF29</f>
        <v>80</v>
      </c>
      <c r="AH29" s="62">
        <f>-9+50+30</f>
        <v>71</v>
      </c>
      <c r="AI29" s="143">
        <f>9+3+5+7+56</f>
        <v>80</v>
      </c>
      <c r="AJ29" s="13">
        <f t="shared" si="30"/>
        <v>71</v>
      </c>
      <c r="AK29" s="62"/>
      <c r="AL29" s="143">
        <f>5+5+5</f>
        <v>15</v>
      </c>
      <c r="AM29" s="13">
        <f t="shared" si="6"/>
        <v>56</v>
      </c>
      <c r="AN29" s="62">
        <f>-22+11+70</f>
        <v>59</v>
      </c>
      <c r="AO29" s="143">
        <f>3+4+49</f>
        <v>56</v>
      </c>
      <c r="AP29" s="13">
        <f t="shared" si="7"/>
        <v>59</v>
      </c>
      <c r="AQ29" s="62">
        <v>60</v>
      </c>
      <c r="AR29" s="143">
        <f>3+6+34</f>
        <v>43</v>
      </c>
      <c r="AS29" s="13">
        <f t="shared" si="8"/>
        <v>76</v>
      </c>
      <c r="AT29" s="62">
        <f>-37+50+40</f>
        <v>53</v>
      </c>
      <c r="AU29" s="143">
        <f>3+9+64</f>
        <v>76</v>
      </c>
      <c r="AV29" s="13">
        <f t="shared" si="9"/>
        <v>53</v>
      </c>
      <c r="AW29" s="62"/>
      <c r="AX29" s="143"/>
      <c r="AY29" s="13">
        <f t="shared" si="10"/>
        <v>53</v>
      </c>
      <c r="AZ29" s="62">
        <f>50+10</f>
        <v>60</v>
      </c>
      <c r="BA29" s="143">
        <f>3+4+43</f>
        <v>50</v>
      </c>
      <c r="BB29" s="13">
        <f t="shared" si="11"/>
        <v>63</v>
      </c>
      <c r="BC29" s="62">
        <f>-53+50+70</f>
        <v>67</v>
      </c>
      <c r="BD29" s="143">
        <f>6+7+50</f>
        <v>63</v>
      </c>
      <c r="BE29" s="13">
        <f t="shared" si="12"/>
        <v>67</v>
      </c>
      <c r="BF29" s="62"/>
      <c r="BG29" s="143"/>
      <c r="BH29" s="13">
        <f t="shared" si="13"/>
        <v>67</v>
      </c>
      <c r="BI29" s="62">
        <f>-21+50+30</f>
        <v>59</v>
      </c>
      <c r="BJ29" s="143">
        <f>7+3+6+3+48</f>
        <v>67</v>
      </c>
      <c r="BK29" s="13">
        <f t="shared" si="14"/>
        <v>59</v>
      </c>
      <c r="BL29" s="62">
        <f>-5+50+30</f>
        <v>75</v>
      </c>
      <c r="BM29" s="143">
        <f>5+4+50</f>
        <v>59</v>
      </c>
      <c r="BN29" s="13">
        <f t="shared" si="15"/>
        <v>75</v>
      </c>
      <c r="BO29" s="62">
        <f>50+20</f>
        <v>70</v>
      </c>
      <c r="BP29" s="143">
        <f>9+7+46</f>
        <v>62</v>
      </c>
      <c r="BQ29" s="13">
        <f t="shared" si="16"/>
        <v>83</v>
      </c>
      <c r="BR29" s="62"/>
      <c r="BS29" s="143"/>
      <c r="BT29" s="13">
        <f t="shared" si="17"/>
        <v>83</v>
      </c>
      <c r="BU29" s="62">
        <f>-4-3+50+30</f>
        <v>73</v>
      </c>
      <c r="BV29" s="143">
        <f>10+4+3+2+64</f>
        <v>83</v>
      </c>
      <c r="BW29" s="13">
        <f t="shared" si="18"/>
        <v>73</v>
      </c>
      <c r="BX29" s="62">
        <f>-22+50+40</f>
        <v>68</v>
      </c>
      <c r="BY29" s="143">
        <f>9+8+3+6+47</f>
        <v>73</v>
      </c>
      <c r="BZ29" s="13">
        <f t="shared" si="19"/>
        <v>68</v>
      </c>
      <c r="CA29" s="62"/>
      <c r="CB29" s="143">
        <f>5+3</f>
        <v>8</v>
      </c>
      <c r="CC29" s="13">
        <f t="shared" si="20"/>
        <v>60</v>
      </c>
      <c r="CD29" s="62">
        <f>-22+8+50</f>
        <v>36</v>
      </c>
      <c r="CE29" s="143">
        <f>3+5+52</f>
        <v>60</v>
      </c>
      <c r="CF29" s="13">
        <f t="shared" si="21"/>
        <v>36</v>
      </c>
      <c r="CG29" s="62">
        <f>-37+50+50</f>
        <v>63</v>
      </c>
      <c r="CH29" s="143">
        <f>3+2+31</f>
        <v>36</v>
      </c>
      <c r="CI29" s="13">
        <f t="shared" si="31"/>
        <v>63</v>
      </c>
      <c r="CJ29" s="62">
        <f>-36+30+60</f>
        <v>54</v>
      </c>
      <c r="CK29" s="143">
        <f>3+6+10+40</f>
        <v>59</v>
      </c>
      <c r="CL29" s="13">
        <f t="shared" si="32"/>
        <v>58</v>
      </c>
      <c r="CM29" s="62"/>
      <c r="CN29" s="143"/>
      <c r="CO29" s="13">
        <f t="shared" si="22"/>
        <v>58</v>
      </c>
      <c r="CP29" s="62">
        <f>-5+50</f>
        <v>45</v>
      </c>
      <c r="CQ29" s="143">
        <f>4+3+7+44</f>
        <v>58</v>
      </c>
      <c r="CR29" s="13">
        <f t="shared" si="33"/>
        <v>45</v>
      </c>
      <c r="CS29" s="62"/>
      <c r="CT29" s="143"/>
      <c r="CU29" s="14">
        <f t="shared" si="23"/>
        <v>45</v>
      </c>
      <c r="CV29" s="5">
        <f t="shared" si="24"/>
        <v>1300</v>
      </c>
      <c r="CW29" s="4">
        <f t="shared" si="24"/>
        <v>1272</v>
      </c>
      <c r="CX29" s="6">
        <f t="shared" si="25"/>
        <v>45</v>
      </c>
      <c r="CY29" s="162">
        <v>90</v>
      </c>
      <c r="CZ29" s="171">
        <f t="shared" si="26"/>
        <v>4050</v>
      </c>
      <c r="DB29" s="2">
        <f t="shared" si="34"/>
        <v>45</v>
      </c>
      <c r="DC29" s="61"/>
      <c r="DD29" s="143"/>
      <c r="DE29" s="149">
        <f t="shared" si="35"/>
        <v>45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>
        <v>1</v>
      </c>
      <c r="CE30" s="143"/>
      <c r="CF30" s="13">
        <f t="shared" si="21"/>
        <v>1</v>
      </c>
      <c r="CG30" s="62"/>
      <c r="CH30" s="143">
        <v>1</v>
      </c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1</v>
      </c>
      <c r="CW30" s="4">
        <f t="shared" si="24"/>
        <v>1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20</v>
      </c>
      <c r="G32" s="62"/>
      <c r="H32" s="143"/>
      <c r="I32" s="13">
        <f t="shared" si="0"/>
        <v>20</v>
      </c>
      <c r="J32" s="62">
        <f>-28-24+120</f>
        <v>68</v>
      </c>
      <c r="K32" s="143">
        <f>7+13</f>
        <v>20</v>
      </c>
      <c r="L32" s="13">
        <f t="shared" si="1"/>
        <v>68</v>
      </c>
      <c r="M32" s="62">
        <f>-48+120</f>
        <v>72</v>
      </c>
      <c r="N32" s="143">
        <f>6+58+1</f>
        <v>65</v>
      </c>
      <c r="O32" s="13">
        <f t="shared" si="2"/>
        <v>75</v>
      </c>
      <c r="P32" s="62"/>
      <c r="Q32" s="143"/>
      <c r="R32" s="30">
        <f t="shared" si="3"/>
        <v>75</v>
      </c>
      <c r="S32" s="62">
        <v>72</v>
      </c>
      <c r="T32" s="143">
        <f>16+7+49</f>
        <v>72</v>
      </c>
      <c r="U32" s="13">
        <f t="shared" si="4"/>
        <v>75</v>
      </c>
      <c r="V32" s="62">
        <v>96</v>
      </c>
      <c r="W32" s="143">
        <f>3+4+58</f>
        <v>65</v>
      </c>
      <c r="X32" s="13">
        <f t="shared" si="5"/>
        <v>106</v>
      </c>
      <c r="Y32" s="62">
        <f>-24+96</f>
        <v>72</v>
      </c>
      <c r="Z32" s="143">
        <f>16+90+6</f>
        <v>112</v>
      </c>
      <c r="AA32" s="13">
        <f t="shared" si="27"/>
        <v>66</v>
      </c>
      <c r="AB32" s="62"/>
      <c r="AC32" s="143"/>
      <c r="AD32" s="13">
        <f t="shared" si="28"/>
        <v>66</v>
      </c>
      <c r="AE32" s="62">
        <v>72</v>
      </c>
      <c r="AF32" s="143">
        <f>6+46</f>
        <v>52</v>
      </c>
      <c r="AG32" s="13">
        <f t="shared" si="29"/>
        <v>86</v>
      </c>
      <c r="AH32" s="62">
        <v>72</v>
      </c>
      <c r="AI32" s="143">
        <f>4+10+62</f>
        <v>76</v>
      </c>
      <c r="AJ32" s="13">
        <f t="shared" si="30"/>
        <v>82</v>
      </c>
      <c r="AK32" s="62"/>
      <c r="AL32" s="143"/>
      <c r="AM32" s="13">
        <f t="shared" si="6"/>
        <v>82</v>
      </c>
      <c r="AN32" s="62">
        <v>24</v>
      </c>
      <c r="AO32" s="143">
        <f>6+40</f>
        <v>46</v>
      </c>
      <c r="AP32" s="13">
        <f t="shared" si="7"/>
        <v>60</v>
      </c>
      <c r="AQ32" s="62">
        <f>-6+72</f>
        <v>66</v>
      </c>
      <c r="AR32" s="143">
        <v>60</v>
      </c>
      <c r="AS32" s="13">
        <f t="shared" si="8"/>
        <v>66</v>
      </c>
      <c r="AT32" s="62">
        <f>-69+120</f>
        <v>51</v>
      </c>
      <c r="AU32" s="143">
        <f>8+58</f>
        <v>66</v>
      </c>
      <c r="AV32" s="13">
        <f t="shared" si="9"/>
        <v>51</v>
      </c>
      <c r="AW32" s="62"/>
      <c r="AX32" s="143"/>
      <c r="AY32" s="13">
        <f t="shared" si="10"/>
        <v>51</v>
      </c>
      <c r="AZ32" s="62">
        <f>-9+96</f>
        <v>87</v>
      </c>
      <c r="BA32" s="143">
        <f>6+45</f>
        <v>51</v>
      </c>
      <c r="BB32" s="13">
        <f t="shared" si="11"/>
        <v>87</v>
      </c>
      <c r="BC32" s="62">
        <v>72</v>
      </c>
      <c r="BD32" s="143">
        <f>10+74</f>
        <v>84</v>
      </c>
      <c r="BE32" s="13">
        <f t="shared" si="12"/>
        <v>75</v>
      </c>
      <c r="BF32" s="62"/>
      <c r="BG32" s="143"/>
      <c r="BH32" s="13">
        <f t="shared" si="13"/>
        <v>75</v>
      </c>
      <c r="BI32" s="62">
        <f>-6+72</f>
        <v>66</v>
      </c>
      <c r="BJ32" s="143">
        <f>15+8+52</f>
        <v>75</v>
      </c>
      <c r="BK32" s="13">
        <f t="shared" si="14"/>
        <v>66</v>
      </c>
      <c r="BL32" s="62">
        <v>72</v>
      </c>
      <c r="BM32" s="143">
        <f>3+42</f>
        <v>45</v>
      </c>
      <c r="BN32" s="13">
        <f t="shared" si="15"/>
        <v>93</v>
      </c>
      <c r="BO32" s="62">
        <v>48</v>
      </c>
      <c r="BP32" s="143">
        <f>8+36+48</f>
        <v>92</v>
      </c>
      <c r="BQ32" s="13">
        <f t="shared" si="16"/>
        <v>49</v>
      </c>
      <c r="BR32" s="62"/>
      <c r="BS32" s="143"/>
      <c r="BT32" s="13">
        <f t="shared" si="17"/>
        <v>49</v>
      </c>
      <c r="BU32" s="62">
        <f>-8+-16+120</f>
        <v>96</v>
      </c>
      <c r="BV32" s="143">
        <f>7+4+38</f>
        <v>49</v>
      </c>
      <c r="BW32" s="13">
        <f t="shared" si="18"/>
        <v>96</v>
      </c>
      <c r="BX32" s="62">
        <f>-44+120</f>
        <v>76</v>
      </c>
      <c r="BY32" s="143">
        <f>4+16+2+74</f>
        <v>96</v>
      </c>
      <c r="BZ32" s="13">
        <f t="shared" si="19"/>
        <v>76</v>
      </c>
      <c r="CA32" s="62"/>
      <c r="CB32" s="143"/>
      <c r="CC32" s="13">
        <f t="shared" si="20"/>
        <v>76</v>
      </c>
      <c r="CD32" s="62">
        <v>24</v>
      </c>
      <c r="CE32" s="143">
        <f>8+28</f>
        <v>36</v>
      </c>
      <c r="CF32" s="13">
        <f t="shared" si="21"/>
        <v>64</v>
      </c>
      <c r="CG32" s="62">
        <f>-13-4+96</f>
        <v>79</v>
      </c>
      <c r="CH32" s="143">
        <f>9+55</f>
        <v>64</v>
      </c>
      <c r="CI32" s="13">
        <f t="shared" si="31"/>
        <v>79</v>
      </c>
      <c r="CJ32" s="62">
        <v>24</v>
      </c>
      <c r="CK32" s="143">
        <f>12+49</f>
        <v>61</v>
      </c>
      <c r="CL32" s="13">
        <f t="shared" si="32"/>
        <v>42</v>
      </c>
      <c r="CM32" s="62"/>
      <c r="CN32" s="143"/>
      <c r="CO32" s="13">
        <f t="shared" si="22"/>
        <v>42</v>
      </c>
      <c r="CP32" s="62">
        <f>-11+48</f>
        <v>37</v>
      </c>
      <c r="CQ32" s="143">
        <f>5+4+33</f>
        <v>42</v>
      </c>
      <c r="CR32" s="13">
        <f t="shared" si="33"/>
        <v>37</v>
      </c>
      <c r="CS32" s="62"/>
      <c r="CT32" s="143"/>
      <c r="CU32" s="14">
        <f t="shared" si="23"/>
        <v>37</v>
      </c>
      <c r="CV32" s="5">
        <f t="shared" si="24"/>
        <v>1346</v>
      </c>
      <c r="CW32" s="4">
        <f t="shared" si="24"/>
        <v>1329</v>
      </c>
      <c r="CX32" s="6">
        <f t="shared" si="25"/>
        <v>37</v>
      </c>
      <c r="CY32" s="162">
        <v>75</v>
      </c>
      <c r="CZ32" s="171">
        <f t="shared" si="26"/>
        <v>2775</v>
      </c>
      <c r="DB32" s="2">
        <f t="shared" si="34"/>
        <v>37</v>
      </c>
      <c r="DC32" s="61"/>
      <c r="DD32" s="143"/>
      <c r="DE32" s="149">
        <f t="shared" si="35"/>
        <v>37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>
        <f>-1+4</f>
        <v>3</v>
      </c>
      <c r="K35" s="143"/>
      <c r="L35" s="13">
        <f>I35+J35-K35</f>
        <v>3</v>
      </c>
      <c r="M35" s="62"/>
      <c r="N35" s="143">
        <v>3</v>
      </c>
      <c r="O35" s="13">
        <f t="shared" si="2"/>
        <v>0</v>
      </c>
      <c r="P35" s="62"/>
      <c r="Q35" s="143"/>
      <c r="R35" s="30">
        <f t="shared" si="3"/>
        <v>0</v>
      </c>
      <c r="S35" s="62">
        <v>1</v>
      </c>
      <c r="T35" s="143"/>
      <c r="U35" s="13">
        <f t="shared" si="4"/>
        <v>1</v>
      </c>
      <c r="V35" s="62"/>
      <c r="W35" s="143">
        <v>1</v>
      </c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4</v>
      </c>
      <c r="CW35" s="4">
        <f t="shared" si="24"/>
        <v>4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36</v>
      </c>
      <c r="G36" s="62"/>
      <c r="H36" s="143"/>
      <c r="I36" s="13">
        <f t="shared" si="0"/>
        <v>36</v>
      </c>
      <c r="J36" s="62">
        <f>2+4</f>
        <v>6</v>
      </c>
      <c r="K36" s="143">
        <f>1+4</f>
        <v>5</v>
      </c>
      <c r="L36" s="13">
        <f t="shared" si="1"/>
        <v>37</v>
      </c>
      <c r="M36" s="62">
        <f>2+4</f>
        <v>6</v>
      </c>
      <c r="N36" s="143">
        <v>6</v>
      </c>
      <c r="O36" s="13">
        <f t="shared" si="2"/>
        <v>37</v>
      </c>
      <c r="P36" s="62"/>
      <c r="Q36" s="143"/>
      <c r="R36" s="30">
        <f t="shared" si="3"/>
        <v>37</v>
      </c>
      <c r="S36" s="62">
        <f>2+4</f>
        <v>6</v>
      </c>
      <c r="T36" s="143">
        <v>5</v>
      </c>
      <c r="U36" s="13">
        <f t="shared" si="4"/>
        <v>38</v>
      </c>
      <c r="V36" s="62">
        <f>2+4</f>
        <v>6</v>
      </c>
      <c r="W36" s="143">
        <f>4+1+1</f>
        <v>6</v>
      </c>
      <c r="X36" s="13">
        <f t="shared" si="5"/>
        <v>38</v>
      </c>
      <c r="Y36" s="62">
        <f>2+4</f>
        <v>6</v>
      </c>
      <c r="Z36" s="143">
        <f>8+4</f>
        <v>12</v>
      </c>
      <c r="AA36" s="13">
        <f t="shared" si="27"/>
        <v>32</v>
      </c>
      <c r="AB36" s="62"/>
      <c r="AC36" s="143"/>
      <c r="AD36" s="13">
        <f t="shared" si="28"/>
        <v>32</v>
      </c>
      <c r="AE36" s="62">
        <v>6</v>
      </c>
      <c r="AF36" s="143">
        <v>6</v>
      </c>
      <c r="AG36" s="13">
        <f t="shared" si="29"/>
        <v>32</v>
      </c>
      <c r="AH36" s="62">
        <f>4+2</f>
        <v>6</v>
      </c>
      <c r="AI36" s="143">
        <f>1+4</f>
        <v>5</v>
      </c>
      <c r="AJ36" s="13">
        <f t="shared" si="30"/>
        <v>33</v>
      </c>
      <c r="AK36" s="62"/>
      <c r="AL36" s="143"/>
      <c r="AM36" s="13">
        <f t="shared" si="6"/>
        <v>33</v>
      </c>
      <c r="AN36" s="62">
        <v>6</v>
      </c>
      <c r="AO36" s="143">
        <f>7</f>
        <v>7</v>
      </c>
      <c r="AP36" s="13">
        <f t="shared" si="7"/>
        <v>32</v>
      </c>
      <c r="AQ36" s="62">
        <f>2+4</f>
        <v>6</v>
      </c>
      <c r="AR36" s="143">
        <f>2+1</f>
        <v>3</v>
      </c>
      <c r="AS36" s="13">
        <f t="shared" si="8"/>
        <v>35</v>
      </c>
      <c r="AT36" s="62">
        <f>2+4</f>
        <v>6</v>
      </c>
      <c r="AU36" s="143">
        <f>1+9</f>
        <v>10</v>
      </c>
      <c r="AV36" s="13">
        <f t="shared" si="9"/>
        <v>31</v>
      </c>
      <c r="AW36" s="62"/>
      <c r="AX36" s="143"/>
      <c r="AY36" s="13">
        <f t="shared" si="10"/>
        <v>31</v>
      </c>
      <c r="AZ36" s="62">
        <f>4</f>
        <v>4</v>
      </c>
      <c r="BA36" s="143">
        <v>4</v>
      </c>
      <c r="BB36" s="13">
        <f t="shared" si="11"/>
        <v>31</v>
      </c>
      <c r="BC36" s="62">
        <f>4</f>
        <v>4</v>
      </c>
      <c r="BD36" s="143">
        <f>5+6</f>
        <v>11</v>
      </c>
      <c r="BE36" s="13">
        <f t="shared" si="12"/>
        <v>24</v>
      </c>
      <c r="BF36" s="62"/>
      <c r="BG36" s="143"/>
      <c r="BH36" s="13">
        <f t="shared" si="13"/>
        <v>24</v>
      </c>
      <c r="BI36" s="62">
        <v>4</v>
      </c>
      <c r="BJ36" s="143">
        <f>3+3</f>
        <v>6</v>
      </c>
      <c r="BK36" s="13">
        <f t="shared" si="14"/>
        <v>22</v>
      </c>
      <c r="BL36" s="62">
        <f>4</f>
        <v>4</v>
      </c>
      <c r="BM36" s="143">
        <v>5</v>
      </c>
      <c r="BN36" s="13">
        <f t="shared" si="15"/>
        <v>21</v>
      </c>
      <c r="BO36" s="62">
        <v>4</v>
      </c>
      <c r="BP36" s="143">
        <v>5</v>
      </c>
      <c r="BQ36" s="13">
        <f t="shared" si="16"/>
        <v>20</v>
      </c>
      <c r="BR36" s="62"/>
      <c r="BS36" s="143"/>
      <c r="BT36" s="13">
        <f t="shared" si="17"/>
        <v>20</v>
      </c>
      <c r="BU36" s="62">
        <f>2+4</f>
        <v>6</v>
      </c>
      <c r="BV36" s="143">
        <v>4</v>
      </c>
      <c r="BW36" s="13">
        <f t="shared" si="18"/>
        <v>22</v>
      </c>
      <c r="BX36" s="62">
        <f>4+2</f>
        <v>6</v>
      </c>
      <c r="BY36" s="143">
        <f>5+1+3</f>
        <v>9</v>
      </c>
      <c r="BZ36" s="13">
        <f t="shared" si="19"/>
        <v>19</v>
      </c>
      <c r="CA36" s="62"/>
      <c r="CB36" s="143">
        <f>1</f>
        <v>1</v>
      </c>
      <c r="CC36" s="13">
        <f t="shared" si="20"/>
        <v>18</v>
      </c>
      <c r="CD36" s="62">
        <v>4</v>
      </c>
      <c r="CE36" s="143">
        <v>5</v>
      </c>
      <c r="CF36" s="13">
        <f t="shared" si="21"/>
        <v>17</v>
      </c>
      <c r="CG36" s="62">
        <f>4+2</f>
        <v>6</v>
      </c>
      <c r="CH36" s="143">
        <f>3</f>
        <v>3</v>
      </c>
      <c r="CI36" s="13">
        <f t="shared" si="31"/>
        <v>20</v>
      </c>
      <c r="CJ36" s="62">
        <f>2+4</f>
        <v>6</v>
      </c>
      <c r="CK36" s="143">
        <f>1+8</f>
        <v>9</v>
      </c>
      <c r="CL36" s="13">
        <f t="shared" si="32"/>
        <v>17</v>
      </c>
      <c r="CM36" s="62"/>
      <c r="CN36" s="143"/>
      <c r="CO36" s="13">
        <f t="shared" si="22"/>
        <v>17</v>
      </c>
      <c r="CP36" s="62">
        <f>2+4</f>
        <v>6</v>
      </c>
      <c r="CQ36" s="143">
        <v>4</v>
      </c>
      <c r="CR36" s="13">
        <f t="shared" si="33"/>
        <v>19</v>
      </c>
      <c r="CS36" s="62"/>
      <c r="CT36" s="143"/>
      <c r="CU36" s="14">
        <f t="shared" si="23"/>
        <v>19</v>
      </c>
      <c r="CV36" s="5">
        <f t="shared" si="24"/>
        <v>114</v>
      </c>
      <c r="CW36" s="4">
        <f t="shared" si="24"/>
        <v>131</v>
      </c>
      <c r="CX36" s="6">
        <f t="shared" si="25"/>
        <v>19</v>
      </c>
      <c r="CY36" s="162">
        <v>1700</v>
      </c>
      <c r="CZ36" s="171">
        <f t="shared" si="26"/>
        <v>32300</v>
      </c>
      <c r="DB36" s="2">
        <f t="shared" si="34"/>
        <v>19</v>
      </c>
      <c r="DC36" s="61"/>
      <c r="DD36" s="143"/>
      <c r="DE36" s="149">
        <f t="shared" si="35"/>
        <v>19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>
        <v>1</v>
      </c>
      <c r="W37" s="143"/>
      <c r="X37" s="13">
        <f t="shared" si="5"/>
        <v>1</v>
      </c>
      <c r="Y37" s="62"/>
      <c r="Z37" s="143"/>
      <c r="AA37" s="13">
        <f t="shared" si="27"/>
        <v>1</v>
      </c>
      <c r="AB37" s="62"/>
      <c r="AC37" s="143"/>
      <c r="AD37" s="13">
        <f>AA37+AB37-AC37</f>
        <v>1</v>
      </c>
      <c r="AE37" s="62"/>
      <c r="AF37" s="143"/>
      <c r="AG37" s="13">
        <f t="shared" si="29"/>
        <v>1</v>
      </c>
      <c r="AH37" s="62"/>
      <c r="AI37" s="143"/>
      <c r="AJ37" s="13">
        <f t="shared" si="30"/>
        <v>1</v>
      </c>
      <c r="AK37" s="62"/>
      <c r="AL37" s="143"/>
      <c r="AM37" s="13">
        <f t="shared" si="6"/>
        <v>1</v>
      </c>
      <c r="AN37" s="62"/>
      <c r="AO37" s="143">
        <v>1</v>
      </c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1</v>
      </c>
      <c r="CW37" s="4">
        <f t="shared" si="36"/>
        <v>1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12</v>
      </c>
      <c r="G39" s="62"/>
      <c r="H39" s="143"/>
      <c r="I39" s="13">
        <f t="shared" si="0"/>
        <v>12</v>
      </c>
      <c r="J39" s="62"/>
      <c r="K39" s="143">
        <f>2+3+1</f>
        <v>6</v>
      </c>
      <c r="L39" s="13">
        <f t="shared" si="1"/>
        <v>6</v>
      </c>
      <c r="M39" s="62">
        <f>-1+10</f>
        <v>9</v>
      </c>
      <c r="N39" s="143">
        <f>2+1+3</f>
        <v>6</v>
      </c>
      <c r="O39" s="13">
        <f t="shared" si="2"/>
        <v>9</v>
      </c>
      <c r="P39" s="62"/>
      <c r="Q39" s="143"/>
      <c r="R39" s="30">
        <f t="shared" si="3"/>
        <v>9</v>
      </c>
      <c r="S39" s="62"/>
      <c r="T39" s="143">
        <f>1+2</f>
        <v>3</v>
      </c>
      <c r="U39" s="13">
        <f t="shared" si="4"/>
        <v>6</v>
      </c>
      <c r="V39" s="62">
        <v>10</v>
      </c>
      <c r="W39" s="143">
        <f>5</f>
        <v>5</v>
      </c>
      <c r="X39" s="13">
        <f t="shared" si="5"/>
        <v>11</v>
      </c>
      <c r="Y39" s="62">
        <v>10</v>
      </c>
      <c r="Z39" s="143">
        <f>2+3+9</f>
        <v>14</v>
      </c>
      <c r="AA39" s="13">
        <f t="shared" si="27"/>
        <v>7</v>
      </c>
      <c r="AB39" s="62"/>
      <c r="AC39" s="143"/>
      <c r="AD39" s="13">
        <f t="shared" si="28"/>
        <v>7</v>
      </c>
      <c r="AE39" s="62">
        <v>10</v>
      </c>
      <c r="AF39" s="143">
        <v>3</v>
      </c>
      <c r="AG39" s="13">
        <f t="shared" si="29"/>
        <v>14</v>
      </c>
      <c r="AH39" s="62"/>
      <c r="AI39" s="143">
        <v>6</v>
      </c>
      <c r="AJ39" s="13">
        <f t="shared" si="30"/>
        <v>8</v>
      </c>
      <c r="AK39" s="62"/>
      <c r="AL39" s="143">
        <f>2</f>
        <v>2</v>
      </c>
      <c r="AM39" s="13">
        <f t="shared" si="6"/>
        <v>6</v>
      </c>
      <c r="AN39" s="62">
        <v>10</v>
      </c>
      <c r="AO39" s="143">
        <v>5</v>
      </c>
      <c r="AP39" s="13">
        <f t="shared" si="7"/>
        <v>11</v>
      </c>
      <c r="AQ39" s="62"/>
      <c r="AR39" s="143">
        <v>2</v>
      </c>
      <c r="AS39" s="13">
        <f t="shared" si="8"/>
        <v>9</v>
      </c>
      <c r="AT39" s="62"/>
      <c r="AU39" s="143">
        <f>1+5</f>
        <v>6</v>
      </c>
      <c r="AV39" s="13">
        <f t="shared" si="9"/>
        <v>3</v>
      </c>
      <c r="AW39" s="62"/>
      <c r="AX39" s="143"/>
      <c r="AY39" s="13">
        <f t="shared" si="10"/>
        <v>3</v>
      </c>
      <c r="AZ39" s="62">
        <v>10</v>
      </c>
      <c r="BA39" s="143">
        <v>3</v>
      </c>
      <c r="BB39" s="13">
        <f t="shared" si="11"/>
        <v>10</v>
      </c>
      <c r="BC39" s="62">
        <v>10</v>
      </c>
      <c r="BD39" s="143">
        <f>1+9</f>
        <v>10</v>
      </c>
      <c r="BE39" s="13">
        <f t="shared" si="12"/>
        <v>10</v>
      </c>
      <c r="BF39" s="62"/>
      <c r="BG39" s="143"/>
      <c r="BH39" s="13">
        <f t="shared" si="13"/>
        <v>10</v>
      </c>
      <c r="BI39" s="62">
        <v>10</v>
      </c>
      <c r="BJ39" s="143">
        <f>5+4</f>
        <v>9</v>
      </c>
      <c r="BK39" s="13">
        <f t="shared" si="14"/>
        <v>11</v>
      </c>
      <c r="BL39" s="62">
        <v>10</v>
      </c>
      <c r="BM39" s="143">
        <v>7</v>
      </c>
      <c r="BN39" s="13">
        <f t="shared" si="15"/>
        <v>14</v>
      </c>
      <c r="BO39" s="62">
        <v>10</v>
      </c>
      <c r="BP39" s="143">
        <f>1+2</f>
        <v>3</v>
      </c>
      <c r="BQ39" s="13">
        <f t="shared" si="16"/>
        <v>21</v>
      </c>
      <c r="BR39" s="62"/>
      <c r="BS39" s="143"/>
      <c r="BT39" s="13">
        <f t="shared" si="17"/>
        <v>21</v>
      </c>
      <c r="BU39" s="62"/>
      <c r="BV39" s="143">
        <f>9+2+1+1</f>
        <v>13</v>
      </c>
      <c r="BW39" s="13">
        <f t="shared" si="18"/>
        <v>8</v>
      </c>
      <c r="BX39" s="62">
        <f>-2+10</f>
        <v>8</v>
      </c>
      <c r="BY39" s="143">
        <f>3+1+4</f>
        <v>8</v>
      </c>
      <c r="BZ39" s="13">
        <f t="shared" si="19"/>
        <v>8</v>
      </c>
      <c r="CA39" s="62"/>
      <c r="CB39" s="143"/>
      <c r="CC39" s="13">
        <f t="shared" si="20"/>
        <v>8</v>
      </c>
      <c r="CD39" s="62"/>
      <c r="CE39" s="143">
        <v>2</v>
      </c>
      <c r="CF39" s="13">
        <f t="shared" si="21"/>
        <v>6</v>
      </c>
      <c r="CG39" s="62">
        <v>10</v>
      </c>
      <c r="CH39" s="143">
        <f>1+5</f>
        <v>6</v>
      </c>
      <c r="CI39" s="13">
        <f t="shared" si="31"/>
        <v>10</v>
      </c>
      <c r="CJ39" s="62"/>
      <c r="CK39" s="143">
        <f>1+1</f>
        <v>2</v>
      </c>
      <c r="CL39" s="13">
        <f t="shared" si="32"/>
        <v>8</v>
      </c>
      <c r="CM39" s="62"/>
      <c r="CN39" s="143"/>
      <c r="CO39" s="13">
        <f t="shared" si="22"/>
        <v>8</v>
      </c>
      <c r="CP39" s="62">
        <v>10</v>
      </c>
      <c r="CQ39" s="143">
        <f>2+4</f>
        <v>6</v>
      </c>
      <c r="CR39" s="13">
        <f t="shared" si="33"/>
        <v>12</v>
      </c>
      <c r="CS39" s="62"/>
      <c r="CT39" s="143"/>
      <c r="CU39" s="14">
        <f t="shared" si="23"/>
        <v>12</v>
      </c>
      <c r="CV39" s="5">
        <f t="shared" si="36"/>
        <v>127</v>
      </c>
      <c r="CW39" s="4">
        <f t="shared" si="36"/>
        <v>127</v>
      </c>
      <c r="CX39" s="6">
        <f t="shared" si="25"/>
        <v>12</v>
      </c>
      <c r="CY39" s="162">
        <v>80</v>
      </c>
      <c r="CZ39" s="171">
        <f t="shared" si="26"/>
        <v>960</v>
      </c>
      <c r="DB39" s="2">
        <f t="shared" si="34"/>
        <v>12</v>
      </c>
      <c r="DC39" s="61"/>
      <c r="DD39" s="143"/>
      <c r="DE39" s="149">
        <f t="shared" si="35"/>
        <v>12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15.46</v>
      </c>
      <c r="G40" s="184"/>
      <c r="H40" s="143"/>
      <c r="I40" s="13">
        <f t="shared" si="0"/>
        <v>15.46</v>
      </c>
      <c r="J40" s="62">
        <v>20</v>
      </c>
      <c r="K40" s="143">
        <f>1.4+1.1+2.3+1.8+0.9+0.9+2.2+2.2+0.9+0.7+2</f>
        <v>16.399999999999999</v>
      </c>
      <c r="L40" s="13">
        <f t="shared" si="1"/>
        <v>19.060000000000002</v>
      </c>
      <c r="M40" s="62">
        <v>20</v>
      </c>
      <c r="N40" s="143">
        <f>0.2+1.4+1.1+1.4+1.1+1.1+1.1+0.2</f>
        <v>7.5999999999999988</v>
      </c>
      <c r="O40" s="13">
        <f t="shared" si="2"/>
        <v>31.460000000000004</v>
      </c>
      <c r="P40" s="62"/>
      <c r="Q40" s="143">
        <f>1+1.3+1.5+1+0.8+0.8+0.7+2.5</f>
        <v>9.6</v>
      </c>
      <c r="R40" s="30">
        <f t="shared" si="3"/>
        <v>21.860000000000007</v>
      </c>
      <c r="S40" s="62">
        <v>20</v>
      </c>
      <c r="T40" s="143">
        <f>4.2+0.8+1.1+1.8+1.4+1+0.8+3</f>
        <v>14.1</v>
      </c>
      <c r="U40" s="13">
        <f t="shared" si="4"/>
        <v>27.760000000000005</v>
      </c>
      <c r="V40" s="62"/>
      <c r="W40" s="143">
        <f>2+0.2+0.2+0.2+0.2+0.5+1.1+2</f>
        <v>6.4</v>
      </c>
      <c r="X40" s="13">
        <f t="shared" si="5"/>
        <v>21.360000000000007</v>
      </c>
      <c r="Y40" s="62">
        <v>20</v>
      </c>
      <c r="Z40" s="143">
        <f>0.9+1.6+0.3+1+1.3+1.8+1.3+1.5+1.7+1.1+4.5+2.2+1.1+0.6+0.8</f>
        <v>21.700000000000003</v>
      </c>
      <c r="AA40" s="13">
        <f t="shared" si="27"/>
        <v>19.660000000000004</v>
      </c>
      <c r="AB40" s="62"/>
      <c r="AC40" s="143"/>
      <c r="AD40" s="13">
        <f t="shared" si="28"/>
        <v>19.660000000000004</v>
      </c>
      <c r="AE40" s="62"/>
      <c r="AF40" s="143"/>
      <c r="AG40" s="13">
        <f t="shared" si="29"/>
        <v>19.660000000000004</v>
      </c>
      <c r="AH40" s="62">
        <v>20</v>
      </c>
      <c r="AI40" s="143">
        <f>0.7+0.8+0.9+0.8+1+1.1+1</f>
        <v>6.3000000000000007</v>
      </c>
      <c r="AJ40" s="13">
        <f t="shared" si="30"/>
        <v>33.36</v>
      </c>
      <c r="AK40" s="62"/>
      <c r="AL40" s="143">
        <f>2.6+0.9+1.2+0.9+1.1+1.1+1.1</f>
        <v>8.9</v>
      </c>
      <c r="AM40" s="13">
        <f t="shared" si="6"/>
        <v>24.46</v>
      </c>
      <c r="AN40" s="62"/>
      <c r="AO40" s="143">
        <f>1.1+1.1+2.5+1.5+1.4+1.7+1.1+1.2+0.4</f>
        <v>11.999999999999998</v>
      </c>
      <c r="AP40" s="13">
        <f t="shared" si="7"/>
        <v>12.460000000000003</v>
      </c>
      <c r="AQ40" s="62">
        <v>20</v>
      </c>
      <c r="AR40" s="143">
        <f>1.3+0.5+0.2+0.2+0.2+0.2+0.4+0.4</f>
        <v>3.4000000000000004</v>
      </c>
      <c r="AS40" s="13">
        <f t="shared" si="8"/>
        <v>29.060000000000002</v>
      </c>
      <c r="AT40" s="62">
        <v>10</v>
      </c>
      <c r="AU40" s="143">
        <f>0.8+2+0.7</f>
        <v>3.5</v>
      </c>
      <c r="AV40" s="13">
        <f t="shared" si="9"/>
        <v>35.56</v>
      </c>
      <c r="AW40" s="62"/>
      <c r="AX40" s="143"/>
      <c r="AY40" s="13">
        <f t="shared" si="10"/>
        <v>35.56</v>
      </c>
      <c r="AZ40" s="62">
        <v>30</v>
      </c>
      <c r="BA40" s="143">
        <f>1.4+1.3+2.5+1.7+2+1+2+2+3.1+2.8+1.1+1.8</f>
        <v>22.700000000000003</v>
      </c>
      <c r="BB40" s="13">
        <f t="shared" si="11"/>
        <v>42.86</v>
      </c>
      <c r="BC40" s="62">
        <v>20</v>
      </c>
      <c r="BD40" s="143">
        <f>0.6+1.4+0.8+1.1+1.1+1.1+1.3+0.8+0.2</f>
        <v>8.3999999999999986</v>
      </c>
      <c r="BE40" s="13">
        <f t="shared" si="12"/>
        <v>54.46</v>
      </c>
      <c r="BF40" s="62"/>
      <c r="BG40" s="143">
        <f>-1+0.9+1.5+0.9+0.9+1.1+0.4+2.5</f>
        <v>7.2</v>
      </c>
      <c r="BH40" s="13">
        <f t="shared" si="13"/>
        <v>47.26</v>
      </c>
      <c r="BI40" s="62"/>
      <c r="BJ40" s="143">
        <f>10.4+1+0.3</f>
        <v>11.700000000000001</v>
      </c>
      <c r="BK40" s="13">
        <f t="shared" si="14"/>
        <v>35.559999999999995</v>
      </c>
      <c r="BL40" s="62"/>
      <c r="BM40" s="143">
        <f>2+0.2+0.2+0.2+0.2+0.2+0.3+1</f>
        <v>4.3000000000000007</v>
      </c>
      <c r="BN40" s="13">
        <f t="shared" si="15"/>
        <v>31.259999999999994</v>
      </c>
      <c r="BO40" s="62"/>
      <c r="BP40" s="143">
        <f>0.8+0.3+0.5</f>
        <v>1.6</v>
      </c>
      <c r="BQ40" s="13">
        <f t="shared" si="16"/>
        <v>29.659999999999993</v>
      </c>
      <c r="BR40" s="62"/>
      <c r="BS40" s="143"/>
      <c r="BT40" s="13">
        <f t="shared" si="17"/>
        <v>29.659999999999993</v>
      </c>
      <c r="BU40" s="62">
        <v>20</v>
      </c>
      <c r="BV40" s="143">
        <f>1.4+1+1.3+1.5+1.7+0.5+1.1+0.9+0.8+4.5</f>
        <v>14.700000000000001</v>
      </c>
      <c r="BW40" s="13">
        <f t="shared" si="18"/>
        <v>34.959999999999994</v>
      </c>
      <c r="BX40" s="62">
        <v>20</v>
      </c>
      <c r="BY40" s="143">
        <f>0.8+2.6+1.2+1.6+1.8+1.7+0.6</f>
        <v>10.3</v>
      </c>
      <c r="BZ40" s="13">
        <f t="shared" si="19"/>
        <v>44.66</v>
      </c>
      <c r="CA40" s="62"/>
      <c r="CB40" s="143">
        <f>2.6+2.2+1.1+1+1.2+1.2+0.6+1+0.9+1.6+1.3</f>
        <v>14.7</v>
      </c>
      <c r="CC40" s="13">
        <f t="shared" si="20"/>
        <v>29.959999999999997</v>
      </c>
      <c r="CD40" s="62"/>
      <c r="CE40" s="143">
        <f>2.2+0.8+1.2+1.6</f>
        <v>5.8000000000000007</v>
      </c>
      <c r="CF40" s="13">
        <f t="shared" si="21"/>
        <v>24.159999999999997</v>
      </c>
      <c r="CG40" s="62"/>
      <c r="CH40" s="143">
        <f>1.5+0.4+0.2+0.2+0.2+0.2+0.2+0.7</f>
        <v>3.6000000000000005</v>
      </c>
      <c r="CI40" s="13">
        <f t="shared" si="31"/>
        <v>20.559999999999995</v>
      </c>
      <c r="CJ40" s="62"/>
      <c r="CK40" s="143">
        <f>0.9+1+1.5+0.6</f>
        <v>4</v>
      </c>
      <c r="CL40" s="13">
        <f t="shared" si="32"/>
        <v>16.559999999999995</v>
      </c>
      <c r="CM40" s="62"/>
      <c r="CN40" s="143"/>
      <c r="CO40" s="13">
        <f t="shared" si="22"/>
        <v>16.559999999999995</v>
      </c>
      <c r="CP40" s="62">
        <f>-0.2+20</f>
        <v>19.8</v>
      </c>
      <c r="CQ40" s="143">
        <f>1.5+1.8+0.9+1.8+0.7+0.9+1+0.9+0.9+1.2+4.8</f>
        <v>16.400000000000002</v>
      </c>
      <c r="CR40" s="13">
        <f t="shared" si="33"/>
        <v>19.959999999999997</v>
      </c>
      <c r="CS40" s="62"/>
      <c r="CT40" s="143"/>
      <c r="CU40" s="14">
        <f t="shared" si="23"/>
        <v>19.959999999999997</v>
      </c>
      <c r="CV40" s="5">
        <f t="shared" si="36"/>
        <v>239.8</v>
      </c>
      <c r="CW40" s="4">
        <f t="shared" si="36"/>
        <v>235.3</v>
      </c>
      <c r="CX40" s="6">
        <f t="shared" si="25"/>
        <v>19.959999999999997</v>
      </c>
      <c r="CY40" s="162">
        <v>250</v>
      </c>
      <c r="CZ40" s="171">
        <f t="shared" si="26"/>
        <v>4989.9999999999991</v>
      </c>
      <c r="DB40" s="2">
        <f t="shared" si="34"/>
        <v>19.959999999999997</v>
      </c>
      <c r="DC40" s="62"/>
      <c r="DD40" s="143"/>
      <c r="DE40" s="149">
        <f t="shared" si="35"/>
        <v>19.959999999999997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/>
      <c r="H42" s="143"/>
      <c r="I42" s="13">
        <f t="shared" si="0"/>
        <v>0</v>
      </c>
      <c r="J42" s="62"/>
      <c r="K42" s="143"/>
      <c r="L42" s="13">
        <f t="shared" si="1"/>
        <v>0</v>
      </c>
      <c r="M42" s="62"/>
      <c r="N42" s="143"/>
      <c r="O42" s="13">
        <f t="shared" si="2"/>
        <v>0</v>
      </c>
      <c r="P42" s="62">
        <v>1</v>
      </c>
      <c r="Q42" s="143"/>
      <c r="R42" s="30">
        <f t="shared" si="3"/>
        <v>1</v>
      </c>
      <c r="S42" s="62">
        <v>1</v>
      </c>
      <c r="T42" s="143">
        <v>1</v>
      </c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>
        <v>1</v>
      </c>
      <c r="AI42" s="143">
        <v>1</v>
      </c>
      <c r="AJ42" s="13">
        <f t="shared" si="30"/>
        <v>1</v>
      </c>
      <c r="AK42" s="62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>
        <v>1</v>
      </c>
      <c r="BD42" s="143">
        <v>1</v>
      </c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>
        <v>1</v>
      </c>
      <c r="CI42" s="13">
        <f t="shared" si="31"/>
        <v>0</v>
      </c>
      <c r="CJ42" s="62"/>
      <c r="CK42" s="143"/>
      <c r="CL42" s="13">
        <f t="shared" si="32"/>
        <v>0</v>
      </c>
      <c r="CM42" s="62"/>
      <c r="CN42" s="143"/>
      <c r="CO42" s="13">
        <f t="shared" si="22"/>
        <v>0</v>
      </c>
      <c r="CP42" s="62"/>
      <c r="CQ42" s="143"/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/>
      <c r="H43" s="143"/>
      <c r="I43" s="13">
        <f t="shared" si="0"/>
        <v>0</v>
      </c>
      <c r="J43" s="62"/>
      <c r="K43" s="143"/>
      <c r="L43" s="13">
        <f t="shared" si="1"/>
        <v>0</v>
      </c>
      <c r="M43" s="62">
        <v>2</v>
      </c>
      <c r="N43" s="143"/>
      <c r="O43" s="13">
        <f t="shared" si="2"/>
        <v>2</v>
      </c>
      <c r="P43" s="62"/>
      <c r="Q43" s="143">
        <f>0.5</f>
        <v>0.5</v>
      </c>
      <c r="R43" s="30">
        <f t="shared" si="3"/>
        <v>1.5</v>
      </c>
      <c r="S43" s="62"/>
      <c r="T43" s="143">
        <v>1</v>
      </c>
      <c r="U43" s="13">
        <f t="shared" si="4"/>
        <v>0.5</v>
      </c>
      <c r="V43" s="62"/>
      <c r="W43" s="143"/>
      <c r="X43" s="13">
        <f t="shared" si="5"/>
        <v>0.5</v>
      </c>
      <c r="Y43" s="62"/>
      <c r="Z43" s="143"/>
      <c r="AA43" s="13">
        <f t="shared" si="27"/>
        <v>0.5</v>
      </c>
      <c r="AB43" s="62"/>
      <c r="AC43" s="143"/>
      <c r="AD43" s="13">
        <f t="shared" si="28"/>
        <v>0.5</v>
      </c>
      <c r="AE43" s="62"/>
      <c r="AF43" s="143"/>
      <c r="AG43" s="13">
        <f t="shared" si="29"/>
        <v>0.5</v>
      </c>
      <c r="AH43" s="62"/>
      <c r="AI43" s="143"/>
      <c r="AJ43" s="13">
        <f t="shared" si="30"/>
        <v>0.5</v>
      </c>
      <c r="AK43" s="62"/>
      <c r="AL43" s="143"/>
      <c r="AM43" s="13">
        <f t="shared" si="6"/>
        <v>0.5</v>
      </c>
      <c r="AN43" s="62"/>
      <c r="AO43" s="143"/>
      <c r="AP43" s="13">
        <f t="shared" si="7"/>
        <v>0.5</v>
      </c>
      <c r="AQ43" s="62">
        <v>1</v>
      </c>
      <c r="AR43" s="143"/>
      <c r="AS43" s="13">
        <f t="shared" si="8"/>
        <v>1.5</v>
      </c>
      <c r="AT43" s="62"/>
      <c r="AU43" s="143">
        <f>1</f>
        <v>1</v>
      </c>
      <c r="AV43" s="13">
        <f t="shared" si="9"/>
        <v>0.5</v>
      </c>
      <c r="AW43" s="62"/>
      <c r="AX43" s="143"/>
      <c r="AY43" s="13">
        <f t="shared" si="10"/>
        <v>0.5</v>
      </c>
      <c r="AZ43" s="62"/>
      <c r="BA43" s="143"/>
      <c r="BB43" s="13">
        <f t="shared" si="11"/>
        <v>0.5</v>
      </c>
      <c r="BC43" s="62">
        <v>1</v>
      </c>
      <c r="BD43" s="143"/>
      <c r="BE43" s="13">
        <f t="shared" si="12"/>
        <v>1.5</v>
      </c>
      <c r="BF43" s="62"/>
      <c r="BG43" s="143">
        <v>1</v>
      </c>
      <c r="BH43" s="13">
        <f t="shared" si="13"/>
        <v>0.5</v>
      </c>
      <c r="BI43" s="62"/>
      <c r="BJ43" s="143">
        <f>0.5</f>
        <v>0.5</v>
      </c>
      <c r="BK43" s="13">
        <f t="shared" si="14"/>
        <v>0</v>
      </c>
      <c r="BL43" s="62"/>
      <c r="BM43" s="143"/>
      <c r="BN43" s="13">
        <f t="shared" si="15"/>
        <v>0</v>
      </c>
      <c r="BO43" s="62">
        <v>1</v>
      </c>
      <c r="BP43" s="143"/>
      <c r="BQ43" s="13">
        <f t="shared" si="16"/>
        <v>1</v>
      </c>
      <c r="BR43" s="62"/>
      <c r="BS43" s="143"/>
      <c r="BT43" s="13">
        <f t="shared" si="17"/>
        <v>1</v>
      </c>
      <c r="BU43" s="62"/>
      <c r="BV43" s="143">
        <v>0.5</v>
      </c>
      <c r="BW43" s="13">
        <f t="shared" si="18"/>
        <v>0.5</v>
      </c>
      <c r="BX43" s="62">
        <v>1</v>
      </c>
      <c r="BY43" s="143">
        <v>0.5</v>
      </c>
      <c r="BZ43" s="13">
        <f t="shared" si="19"/>
        <v>1</v>
      </c>
      <c r="CA43" s="62"/>
      <c r="CB43" s="143">
        <f>1</f>
        <v>1</v>
      </c>
      <c r="CC43" s="13">
        <f t="shared" si="20"/>
        <v>0</v>
      </c>
      <c r="CD43" s="62">
        <v>1</v>
      </c>
      <c r="CE43" s="143"/>
      <c r="CF43" s="13">
        <f t="shared" si="21"/>
        <v>1</v>
      </c>
      <c r="CG43" s="62">
        <v>1</v>
      </c>
      <c r="CH43" s="143">
        <v>1</v>
      </c>
      <c r="CI43" s="13">
        <f t="shared" si="31"/>
        <v>1</v>
      </c>
      <c r="CJ43" s="62"/>
      <c r="CK43" s="143"/>
      <c r="CL43" s="13">
        <f t="shared" si="32"/>
        <v>1</v>
      </c>
      <c r="CM43" s="62"/>
      <c r="CN43" s="143"/>
      <c r="CO43" s="13">
        <f t="shared" si="22"/>
        <v>1</v>
      </c>
      <c r="CP43" s="62"/>
      <c r="CQ43" s="143">
        <f>0.5</f>
        <v>0.5</v>
      </c>
      <c r="CR43" s="13">
        <f t="shared" si="33"/>
        <v>0.5</v>
      </c>
      <c r="CS43" s="62"/>
      <c r="CT43" s="143"/>
      <c r="CU43" s="14">
        <f t="shared" si="23"/>
        <v>0.5</v>
      </c>
      <c r="CV43" s="5">
        <f t="shared" si="36"/>
        <v>8</v>
      </c>
      <c r="CW43" s="4">
        <f t="shared" si="36"/>
        <v>7.5</v>
      </c>
      <c r="CX43" s="6">
        <f t="shared" si="25"/>
        <v>0.5</v>
      </c>
      <c r="CY43" s="162">
        <v>300</v>
      </c>
      <c r="CZ43" s="171">
        <f t="shared" si="26"/>
        <v>150</v>
      </c>
      <c r="DB43" s="2">
        <f t="shared" si="34"/>
        <v>0.5</v>
      </c>
      <c r="DC43" s="62"/>
      <c r="DD43" s="143"/>
      <c r="DE43" s="149">
        <f t="shared" si="35"/>
        <v>0.5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0</v>
      </c>
      <c r="G45" s="62"/>
      <c r="H45" s="143"/>
      <c r="I45" s="13">
        <f t="shared" si="0"/>
        <v>0</v>
      </c>
      <c r="J45" s="62">
        <v>4</v>
      </c>
      <c r="K45" s="143"/>
      <c r="L45" s="13">
        <f t="shared" si="1"/>
        <v>4</v>
      </c>
      <c r="M45" s="62">
        <v>2</v>
      </c>
      <c r="N45" s="143">
        <v>3</v>
      </c>
      <c r="O45" s="13">
        <f t="shared" si="2"/>
        <v>3</v>
      </c>
      <c r="P45" s="62"/>
      <c r="Q45" s="143"/>
      <c r="R45" s="30">
        <f t="shared" si="3"/>
        <v>3</v>
      </c>
      <c r="S45" s="62"/>
      <c r="T45" s="143">
        <v>3</v>
      </c>
      <c r="U45" s="13">
        <f t="shared" si="4"/>
        <v>0</v>
      </c>
      <c r="V45" s="62"/>
      <c r="W45" s="143"/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/>
      <c r="AF45" s="143"/>
      <c r="AG45" s="13">
        <f t="shared" si="29"/>
        <v>0</v>
      </c>
      <c r="AH45" s="62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>
        <v>2</v>
      </c>
      <c r="AR45" s="143"/>
      <c r="AS45" s="13">
        <f t="shared" si="8"/>
        <v>2</v>
      </c>
      <c r="AT45" s="62"/>
      <c r="AU45" s="143"/>
      <c r="AV45" s="13">
        <f t="shared" si="9"/>
        <v>2</v>
      </c>
      <c r="AW45" s="62"/>
      <c r="AX45" s="143"/>
      <c r="AY45" s="13">
        <f t="shared" si="10"/>
        <v>2</v>
      </c>
      <c r="AZ45" s="62">
        <v>2</v>
      </c>
      <c r="BA45" s="143"/>
      <c r="BB45" s="13">
        <f t="shared" si="11"/>
        <v>4</v>
      </c>
      <c r="BC45" s="62">
        <v>4</v>
      </c>
      <c r="BD45" s="143">
        <v>3</v>
      </c>
      <c r="BE45" s="13">
        <f t="shared" si="12"/>
        <v>5</v>
      </c>
      <c r="BF45" s="62"/>
      <c r="BG45" s="143"/>
      <c r="BH45" s="13">
        <f t="shared" si="13"/>
        <v>5</v>
      </c>
      <c r="BI45" s="62"/>
      <c r="BJ45" s="143">
        <f>3+2</f>
        <v>5</v>
      </c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/>
      <c r="CN45" s="143"/>
      <c r="CO45" s="13">
        <f t="shared" si="22"/>
        <v>0</v>
      </c>
      <c r="CP45" s="62">
        <v>2</v>
      </c>
      <c r="CQ45" s="143"/>
      <c r="CR45" s="13">
        <f t="shared" si="33"/>
        <v>2</v>
      </c>
      <c r="CS45" s="62"/>
      <c r="CT45" s="143"/>
      <c r="CU45" s="14">
        <f t="shared" si="23"/>
        <v>2</v>
      </c>
      <c r="CV45" s="5">
        <f t="shared" si="36"/>
        <v>16</v>
      </c>
      <c r="CW45" s="4">
        <f t="shared" si="36"/>
        <v>14</v>
      </c>
      <c r="CX45" s="6">
        <f t="shared" si="25"/>
        <v>2</v>
      </c>
      <c r="CY45" s="162">
        <v>200</v>
      </c>
      <c r="CZ45" s="171">
        <f t="shared" si="26"/>
        <v>400</v>
      </c>
      <c r="DB45" s="2">
        <f t="shared" si="34"/>
        <v>2</v>
      </c>
      <c r="DC45" s="62"/>
      <c r="DD45" s="143"/>
      <c r="DE45" s="149">
        <f t="shared" si="35"/>
        <v>2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2</v>
      </c>
      <c r="G46" s="176"/>
      <c r="H46" s="143"/>
      <c r="I46" s="13">
        <f t="shared" si="0"/>
        <v>2</v>
      </c>
      <c r="J46" s="176">
        <v>2</v>
      </c>
      <c r="K46" s="143"/>
      <c r="L46" s="13">
        <f t="shared" si="1"/>
        <v>4</v>
      </c>
      <c r="M46" s="176"/>
      <c r="N46" s="143">
        <v>3</v>
      </c>
      <c r="O46" s="13">
        <f t="shared" si="2"/>
        <v>1</v>
      </c>
      <c r="P46" s="176"/>
      <c r="Q46" s="143"/>
      <c r="R46" s="30">
        <f t="shared" si="3"/>
        <v>1</v>
      </c>
      <c r="S46" s="176"/>
      <c r="T46" s="143"/>
      <c r="U46" s="13">
        <f t="shared" si="4"/>
        <v>1</v>
      </c>
      <c r="V46" s="176"/>
      <c r="W46" s="143"/>
      <c r="X46" s="13">
        <f t="shared" si="5"/>
        <v>1</v>
      </c>
      <c r="Y46" s="176"/>
      <c r="Z46" s="143"/>
      <c r="AA46" s="13">
        <f t="shared" si="27"/>
        <v>1</v>
      </c>
      <c r="AB46" s="176"/>
      <c r="AC46" s="143"/>
      <c r="AD46" s="13">
        <f t="shared" si="28"/>
        <v>1</v>
      </c>
      <c r="AE46" s="176"/>
      <c r="AF46" s="143"/>
      <c r="AG46" s="13">
        <f t="shared" si="29"/>
        <v>1</v>
      </c>
      <c r="AH46" s="176"/>
      <c r="AI46" s="143"/>
      <c r="AJ46" s="13">
        <f t="shared" si="30"/>
        <v>1</v>
      </c>
      <c r="AK46" s="176"/>
      <c r="AL46" s="143"/>
      <c r="AM46" s="13">
        <f t="shared" si="6"/>
        <v>1</v>
      </c>
      <c r="AN46" s="176"/>
      <c r="AO46" s="143"/>
      <c r="AP46" s="13">
        <f t="shared" si="7"/>
        <v>1</v>
      </c>
      <c r="AQ46" s="176"/>
      <c r="AR46" s="143"/>
      <c r="AS46" s="13">
        <f t="shared" si="8"/>
        <v>1</v>
      </c>
      <c r="AT46" s="176"/>
      <c r="AU46" s="143"/>
      <c r="AV46" s="13">
        <f t="shared" si="9"/>
        <v>1</v>
      </c>
      <c r="AW46" s="176"/>
      <c r="AX46" s="143"/>
      <c r="AY46" s="13">
        <f t="shared" si="10"/>
        <v>1</v>
      </c>
      <c r="AZ46" s="176">
        <v>3</v>
      </c>
      <c r="BA46" s="143"/>
      <c r="BB46" s="13">
        <f t="shared" si="11"/>
        <v>4</v>
      </c>
      <c r="BC46" s="176"/>
      <c r="BD46" s="143">
        <v>3</v>
      </c>
      <c r="BE46" s="13">
        <f t="shared" si="12"/>
        <v>1</v>
      </c>
      <c r="BF46" s="176"/>
      <c r="BG46" s="143"/>
      <c r="BH46" s="13">
        <f t="shared" si="13"/>
        <v>1</v>
      </c>
      <c r="BI46" s="176"/>
      <c r="BJ46" s="143"/>
      <c r="BK46" s="13">
        <f t="shared" si="14"/>
        <v>1</v>
      </c>
      <c r="BL46" s="176"/>
      <c r="BM46" s="143"/>
      <c r="BN46" s="13">
        <f t="shared" si="15"/>
        <v>1</v>
      </c>
      <c r="BO46" s="176"/>
      <c r="BP46" s="143"/>
      <c r="BQ46" s="13">
        <f t="shared" si="16"/>
        <v>1</v>
      </c>
      <c r="BR46" s="176"/>
      <c r="BS46" s="143"/>
      <c r="BT46" s="13">
        <f t="shared" si="17"/>
        <v>1</v>
      </c>
      <c r="BU46" s="176"/>
      <c r="BV46" s="143"/>
      <c r="BW46" s="13">
        <f t="shared" si="18"/>
        <v>1</v>
      </c>
      <c r="BX46" s="176"/>
      <c r="BY46" s="143"/>
      <c r="BZ46" s="13">
        <f t="shared" si="19"/>
        <v>1</v>
      </c>
      <c r="CA46" s="176"/>
      <c r="CB46" s="143"/>
      <c r="CC46" s="13">
        <f t="shared" si="20"/>
        <v>1</v>
      </c>
      <c r="CD46" s="176"/>
      <c r="CE46" s="143"/>
      <c r="CF46" s="13">
        <f t="shared" si="21"/>
        <v>1</v>
      </c>
      <c r="CG46" s="176"/>
      <c r="CH46" s="143"/>
      <c r="CI46" s="13">
        <f t="shared" si="31"/>
        <v>1</v>
      </c>
      <c r="CJ46" s="176">
        <v>1</v>
      </c>
      <c r="CK46" s="143"/>
      <c r="CL46" s="13">
        <f t="shared" si="32"/>
        <v>2</v>
      </c>
      <c r="CM46" s="176"/>
      <c r="CN46" s="143"/>
      <c r="CO46" s="13">
        <f t="shared" si="22"/>
        <v>2</v>
      </c>
      <c r="CP46" s="176"/>
      <c r="CQ46" s="143">
        <v>2</v>
      </c>
      <c r="CR46" s="13">
        <f t="shared" si="33"/>
        <v>0</v>
      </c>
      <c r="CS46" s="176"/>
      <c r="CT46" s="143"/>
      <c r="CU46" s="14">
        <f t="shared" si="23"/>
        <v>0</v>
      </c>
      <c r="CV46" s="5">
        <f t="shared" si="36"/>
        <v>6</v>
      </c>
      <c r="CW46" s="4">
        <f t="shared" si="36"/>
        <v>8</v>
      </c>
      <c r="CX46" s="6">
        <f t="shared" si="25"/>
        <v>0</v>
      </c>
      <c r="CY46" s="162">
        <v>200</v>
      </c>
      <c r="CZ46" s="171">
        <f t="shared" si="26"/>
        <v>0</v>
      </c>
      <c r="DB46" s="2">
        <f t="shared" si="34"/>
        <v>0</v>
      </c>
      <c r="DC46" s="63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5</v>
      </c>
      <c r="G47" s="176"/>
      <c r="H47" s="143"/>
      <c r="I47" s="13">
        <f t="shared" si="0"/>
        <v>5</v>
      </c>
      <c r="J47" s="176"/>
      <c r="K47" s="143">
        <f>3+2</f>
        <v>5</v>
      </c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/>
      <c r="Z47" s="143"/>
      <c r="AA47" s="13">
        <f t="shared" si="27"/>
        <v>0</v>
      </c>
      <c r="AB47" s="176"/>
      <c r="AC47" s="143"/>
      <c r="AD47" s="13">
        <f t="shared" si="28"/>
        <v>0</v>
      </c>
      <c r="AE47" s="176">
        <v>7</v>
      </c>
      <c r="AF47" s="143"/>
      <c r="AG47" s="13">
        <f t="shared" si="29"/>
        <v>7</v>
      </c>
      <c r="AH47" s="176"/>
      <c r="AI47" s="143">
        <f>3+4</f>
        <v>7</v>
      </c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>
        <v>4</v>
      </c>
      <c r="AR47" s="143"/>
      <c r="AS47" s="13">
        <f t="shared" si="8"/>
        <v>4</v>
      </c>
      <c r="AT47" s="176"/>
      <c r="AU47" s="143"/>
      <c r="AV47" s="13">
        <f t="shared" si="9"/>
        <v>4</v>
      </c>
      <c r="AW47" s="176"/>
      <c r="AX47" s="143"/>
      <c r="AY47" s="13">
        <f t="shared" si="10"/>
        <v>4</v>
      </c>
      <c r="AZ47" s="176"/>
      <c r="BA47" s="143"/>
      <c r="BB47" s="13">
        <f t="shared" si="11"/>
        <v>4</v>
      </c>
      <c r="BC47" s="176"/>
      <c r="BD47" s="143">
        <v>4</v>
      </c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>
        <v>12</v>
      </c>
      <c r="BM47" s="143"/>
      <c r="BN47" s="13">
        <f t="shared" si="15"/>
        <v>12</v>
      </c>
      <c r="BO47" s="176"/>
      <c r="BP47" s="143">
        <f>4+4</f>
        <v>8</v>
      </c>
      <c r="BQ47" s="13">
        <f t="shared" si="16"/>
        <v>4</v>
      </c>
      <c r="BR47" s="176"/>
      <c r="BS47" s="143"/>
      <c r="BT47" s="13">
        <f t="shared" si="17"/>
        <v>4</v>
      </c>
      <c r="BU47" s="176"/>
      <c r="BV47" s="143">
        <f>2+2</f>
        <v>4</v>
      </c>
      <c r="BW47" s="13">
        <f t="shared" si="18"/>
        <v>0</v>
      </c>
      <c r="BX47" s="176"/>
      <c r="BY47" s="143"/>
      <c r="BZ47" s="13">
        <f t="shared" si="19"/>
        <v>0</v>
      </c>
      <c r="CA47" s="176"/>
      <c r="CB47" s="143"/>
      <c r="CC47" s="13">
        <f t="shared" si="20"/>
        <v>0</v>
      </c>
      <c r="CD47" s="176">
        <v>1</v>
      </c>
      <c r="CE47" s="143"/>
      <c r="CF47" s="13">
        <f t="shared" si="21"/>
        <v>1</v>
      </c>
      <c r="CG47" s="176"/>
      <c r="CH47" s="143">
        <v>1</v>
      </c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24</v>
      </c>
      <c r="CW47" s="4">
        <f t="shared" si="36"/>
        <v>29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2.8299999999999996</v>
      </c>
      <c r="G48" s="62"/>
      <c r="H48" s="143"/>
      <c r="I48" s="13">
        <f t="shared" si="0"/>
        <v>2.8299999999999996</v>
      </c>
      <c r="J48" s="62"/>
      <c r="K48" s="143">
        <f>0.3+0.8+1</f>
        <v>2.1</v>
      </c>
      <c r="L48" s="13">
        <f t="shared" si="1"/>
        <v>0.72999999999999954</v>
      </c>
      <c r="M48" s="62">
        <v>4</v>
      </c>
      <c r="N48" s="143">
        <f>0.9</f>
        <v>0.9</v>
      </c>
      <c r="O48" s="13">
        <f t="shared" si="2"/>
        <v>3.8299999999999996</v>
      </c>
      <c r="P48" s="62"/>
      <c r="Q48" s="143">
        <f>1</f>
        <v>1</v>
      </c>
      <c r="R48" s="30">
        <f t="shared" si="3"/>
        <v>2.8299999999999996</v>
      </c>
      <c r="S48" s="62">
        <v>4</v>
      </c>
      <c r="T48" s="143">
        <f>0.8+1+0.5</f>
        <v>2.2999999999999998</v>
      </c>
      <c r="U48" s="13">
        <f t="shared" si="4"/>
        <v>4.53</v>
      </c>
      <c r="V48" s="62"/>
      <c r="W48" s="143">
        <f>0.2+0.2+0.1+0.1+0.1+1.5</f>
        <v>2.2000000000000002</v>
      </c>
      <c r="X48" s="13">
        <f t="shared" si="5"/>
        <v>2.33</v>
      </c>
      <c r="Y48" s="62"/>
      <c r="Z48" s="143">
        <f>0.1+0.8+0.4+0.6</f>
        <v>1.9</v>
      </c>
      <c r="AA48" s="13">
        <f t="shared" si="27"/>
        <v>0.43000000000000016</v>
      </c>
      <c r="AB48" s="62"/>
      <c r="AC48" s="143"/>
      <c r="AD48" s="13">
        <f t="shared" si="28"/>
        <v>0.43000000000000016</v>
      </c>
      <c r="AE48" s="62">
        <v>4</v>
      </c>
      <c r="AF48" s="143"/>
      <c r="AG48" s="13">
        <f t="shared" si="29"/>
        <v>4.43</v>
      </c>
      <c r="AH48" s="62">
        <v>4</v>
      </c>
      <c r="AI48" s="143">
        <f>0.5+0.1+0.8+0.5</f>
        <v>1.9</v>
      </c>
      <c r="AJ48" s="13">
        <f t="shared" si="30"/>
        <v>6.5299999999999994</v>
      </c>
      <c r="AK48" s="62"/>
      <c r="AL48" s="143">
        <f>0.5+0.8</f>
        <v>1.3</v>
      </c>
      <c r="AM48" s="13">
        <f t="shared" si="6"/>
        <v>5.2299999999999995</v>
      </c>
      <c r="AN48" s="62"/>
      <c r="AO48" s="143">
        <f>0.9+1+0.3</f>
        <v>2.1999999999999997</v>
      </c>
      <c r="AP48" s="13">
        <f t="shared" si="7"/>
        <v>3.03</v>
      </c>
      <c r="AQ48" s="62"/>
      <c r="AR48" s="143"/>
      <c r="AS48" s="13">
        <f t="shared" si="8"/>
        <v>3.03</v>
      </c>
      <c r="AT48" s="62"/>
      <c r="AU48" s="143">
        <v>1.1000000000000001</v>
      </c>
      <c r="AV48" s="13">
        <f t="shared" si="9"/>
        <v>1.9299999999999997</v>
      </c>
      <c r="AW48" s="62"/>
      <c r="AX48" s="143"/>
      <c r="AY48" s="13">
        <f t="shared" si="10"/>
        <v>1.9299999999999997</v>
      </c>
      <c r="AZ48" s="62">
        <v>4</v>
      </c>
      <c r="BA48" s="143">
        <f>0.5</f>
        <v>0.5</v>
      </c>
      <c r="BB48" s="13">
        <f t="shared" si="11"/>
        <v>5.43</v>
      </c>
      <c r="BC48" s="62"/>
      <c r="BD48" s="143">
        <f>1+0.2+0.9</f>
        <v>2.1</v>
      </c>
      <c r="BE48" s="13">
        <f t="shared" si="12"/>
        <v>3.3299999999999996</v>
      </c>
      <c r="BF48" s="62"/>
      <c r="BG48" s="143"/>
      <c r="BH48" s="13">
        <f t="shared" si="13"/>
        <v>3.3299999999999996</v>
      </c>
      <c r="BI48" s="62">
        <v>4</v>
      </c>
      <c r="BJ48" s="143">
        <f>0.6+0.9</f>
        <v>1.5</v>
      </c>
      <c r="BK48" s="13">
        <f t="shared" si="14"/>
        <v>5.83</v>
      </c>
      <c r="BL48" s="62"/>
      <c r="BM48" s="143">
        <f>1.5+0.2+0.2+0.1+0.1+0.1</f>
        <v>2.2000000000000002</v>
      </c>
      <c r="BN48" s="13">
        <f t="shared" si="15"/>
        <v>3.63</v>
      </c>
      <c r="BO48" s="62"/>
      <c r="BP48" s="143">
        <f>1+1</f>
        <v>2</v>
      </c>
      <c r="BQ48" s="13">
        <f t="shared" si="16"/>
        <v>1.63</v>
      </c>
      <c r="BR48" s="62"/>
      <c r="BS48" s="143"/>
      <c r="BT48" s="13">
        <f t="shared" si="17"/>
        <v>1.63</v>
      </c>
      <c r="BU48" s="62">
        <v>4</v>
      </c>
      <c r="BV48" s="143">
        <v>0.6</v>
      </c>
      <c r="BW48" s="13">
        <f t="shared" si="18"/>
        <v>5.03</v>
      </c>
      <c r="BX48" s="62"/>
      <c r="BY48" s="143">
        <f>0.3+0.3+0.3+0.3+1</f>
        <v>2.2000000000000002</v>
      </c>
      <c r="BZ48" s="13">
        <f t="shared" si="19"/>
        <v>2.83</v>
      </c>
      <c r="CA48" s="62"/>
      <c r="CB48" s="143">
        <f>0.5+0.8</f>
        <v>1.3</v>
      </c>
      <c r="CC48" s="13">
        <f t="shared" si="20"/>
        <v>1.53</v>
      </c>
      <c r="CD48" s="62">
        <f>-0.2+4</f>
        <v>3.8</v>
      </c>
      <c r="CE48" s="143">
        <f>0.95+0.6</f>
        <v>1.5499999999999998</v>
      </c>
      <c r="CF48" s="13">
        <f t="shared" si="21"/>
        <v>3.7800000000000002</v>
      </c>
      <c r="CG48" s="62">
        <v>4</v>
      </c>
      <c r="CH48" s="143">
        <f>0.1+0.1+0.1</f>
        <v>0.30000000000000004</v>
      </c>
      <c r="CI48" s="13">
        <f t="shared" si="31"/>
        <v>7.48</v>
      </c>
      <c r="CJ48" s="62"/>
      <c r="CK48" s="143">
        <f>2+0.9</f>
        <v>2.9</v>
      </c>
      <c r="CL48" s="13">
        <f t="shared" si="32"/>
        <v>4.58</v>
      </c>
      <c r="CM48" s="62"/>
      <c r="CN48" s="143"/>
      <c r="CO48" s="13">
        <f t="shared" si="22"/>
        <v>4.58</v>
      </c>
      <c r="CP48" s="62"/>
      <c r="CQ48" s="143">
        <f>0.5+0.8+0.2</f>
        <v>1.5</v>
      </c>
      <c r="CR48" s="13">
        <f t="shared" si="33"/>
        <v>3.08</v>
      </c>
      <c r="CS48" s="62"/>
      <c r="CT48" s="143"/>
      <c r="CU48" s="14">
        <f t="shared" si="23"/>
        <v>3.08</v>
      </c>
      <c r="CV48" s="5">
        <f t="shared" si="36"/>
        <v>35.799999999999997</v>
      </c>
      <c r="CW48" s="4">
        <f t="shared" si="36"/>
        <v>35.550000000000004</v>
      </c>
      <c r="CX48" s="6">
        <f t="shared" si="25"/>
        <v>3.08</v>
      </c>
      <c r="CY48" s="162">
        <v>750</v>
      </c>
      <c r="CZ48" s="171">
        <f t="shared" si="26"/>
        <v>2310</v>
      </c>
      <c r="DB48" s="2">
        <f t="shared" si="34"/>
        <v>3.08</v>
      </c>
      <c r="DC48" s="61"/>
      <c r="DD48" s="143"/>
      <c r="DE48" s="149">
        <f t="shared" si="35"/>
        <v>3.08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8</v>
      </c>
      <c r="G49" s="62"/>
      <c r="H49" s="143"/>
      <c r="I49" s="13">
        <f t="shared" si="0"/>
        <v>8</v>
      </c>
      <c r="J49" s="62">
        <v>10</v>
      </c>
      <c r="K49" s="143">
        <v>3</v>
      </c>
      <c r="L49" s="13">
        <f t="shared" si="1"/>
        <v>15</v>
      </c>
      <c r="M49" s="62"/>
      <c r="N49" s="143">
        <v>3</v>
      </c>
      <c r="O49" s="13">
        <f t="shared" si="2"/>
        <v>12</v>
      </c>
      <c r="P49" s="62"/>
      <c r="Q49" s="143"/>
      <c r="R49" s="30">
        <f t="shared" si="3"/>
        <v>12</v>
      </c>
      <c r="S49" s="62"/>
      <c r="T49" s="143">
        <v>2</v>
      </c>
      <c r="U49" s="13">
        <f t="shared" si="4"/>
        <v>10</v>
      </c>
      <c r="V49" s="62">
        <v>10</v>
      </c>
      <c r="W49" s="143">
        <v>5</v>
      </c>
      <c r="X49" s="13">
        <f t="shared" si="5"/>
        <v>15</v>
      </c>
      <c r="Y49" s="62"/>
      <c r="Z49" s="143">
        <v>2</v>
      </c>
      <c r="AA49" s="13">
        <f t="shared" si="27"/>
        <v>13</v>
      </c>
      <c r="AB49" s="62"/>
      <c r="AC49" s="143"/>
      <c r="AD49" s="13">
        <f t="shared" si="28"/>
        <v>13</v>
      </c>
      <c r="AE49" s="62"/>
      <c r="AF49" s="143">
        <v>3</v>
      </c>
      <c r="AG49" s="13">
        <f t="shared" si="29"/>
        <v>10</v>
      </c>
      <c r="AH49" s="62">
        <v>10</v>
      </c>
      <c r="AI49" s="143">
        <v>3</v>
      </c>
      <c r="AJ49" s="13">
        <f t="shared" si="30"/>
        <v>17</v>
      </c>
      <c r="AK49" s="62"/>
      <c r="AL49" s="143"/>
      <c r="AM49" s="13">
        <f t="shared" si="6"/>
        <v>17</v>
      </c>
      <c r="AN49" s="62"/>
      <c r="AO49" s="143">
        <v>3</v>
      </c>
      <c r="AP49" s="13">
        <f t="shared" si="7"/>
        <v>14</v>
      </c>
      <c r="AQ49" s="62"/>
      <c r="AR49" s="143"/>
      <c r="AS49" s="13">
        <f t="shared" si="8"/>
        <v>14</v>
      </c>
      <c r="AT49" s="62"/>
      <c r="AU49" s="143">
        <v>2</v>
      </c>
      <c r="AV49" s="13">
        <f t="shared" si="9"/>
        <v>12</v>
      </c>
      <c r="AW49" s="62"/>
      <c r="AX49" s="143"/>
      <c r="AY49" s="13">
        <f t="shared" si="10"/>
        <v>12</v>
      </c>
      <c r="AZ49" s="62"/>
      <c r="BA49" s="143">
        <v>4</v>
      </c>
      <c r="BB49" s="13">
        <f t="shared" si="11"/>
        <v>8</v>
      </c>
      <c r="BC49" s="62">
        <v>10</v>
      </c>
      <c r="BD49" s="143">
        <v>5</v>
      </c>
      <c r="BE49" s="13">
        <f t="shared" si="12"/>
        <v>13</v>
      </c>
      <c r="BF49" s="62"/>
      <c r="BG49" s="143"/>
      <c r="BH49" s="13">
        <f t="shared" si="13"/>
        <v>13</v>
      </c>
      <c r="BI49" s="62"/>
      <c r="BJ49" s="143">
        <v>4</v>
      </c>
      <c r="BK49" s="13">
        <f t="shared" si="14"/>
        <v>9</v>
      </c>
      <c r="BL49" s="62">
        <v>10</v>
      </c>
      <c r="BM49" s="143">
        <v>2</v>
      </c>
      <c r="BN49" s="13">
        <f t="shared" si="15"/>
        <v>17</v>
      </c>
      <c r="BO49" s="62"/>
      <c r="BP49" s="143">
        <v>3</v>
      </c>
      <c r="BQ49" s="13">
        <f t="shared" si="16"/>
        <v>14</v>
      </c>
      <c r="BR49" s="62"/>
      <c r="BS49" s="143"/>
      <c r="BT49" s="13">
        <f t="shared" si="17"/>
        <v>14</v>
      </c>
      <c r="BU49" s="62"/>
      <c r="BV49" s="143">
        <v>1</v>
      </c>
      <c r="BW49" s="13">
        <f t="shared" si="18"/>
        <v>13</v>
      </c>
      <c r="BX49" s="62"/>
      <c r="BY49" s="143">
        <v>4</v>
      </c>
      <c r="BZ49" s="13">
        <f t="shared" si="19"/>
        <v>9</v>
      </c>
      <c r="CA49" s="62"/>
      <c r="CB49" s="143"/>
      <c r="CC49" s="13">
        <f t="shared" si="20"/>
        <v>9</v>
      </c>
      <c r="CD49" s="62"/>
      <c r="CE49" s="143">
        <v>1</v>
      </c>
      <c r="CF49" s="13">
        <f t="shared" si="21"/>
        <v>8</v>
      </c>
      <c r="CG49" s="62">
        <v>10</v>
      </c>
      <c r="CH49" s="143"/>
      <c r="CI49" s="13">
        <f t="shared" si="31"/>
        <v>18</v>
      </c>
      <c r="CJ49" s="62"/>
      <c r="CK49" s="143">
        <v>4</v>
      </c>
      <c r="CL49" s="13">
        <f t="shared" si="32"/>
        <v>14</v>
      </c>
      <c r="CM49" s="62"/>
      <c r="CN49" s="143"/>
      <c r="CO49" s="13">
        <f t="shared" si="22"/>
        <v>14</v>
      </c>
      <c r="CP49" s="62"/>
      <c r="CQ49" s="143">
        <v>2</v>
      </c>
      <c r="CR49" s="13">
        <f t="shared" si="33"/>
        <v>12</v>
      </c>
      <c r="CS49" s="62"/>
      <c r="CT49" s="143"/>
      <c r="CU49" s="14">
        <f t="shared" si="23"/>
        <v>12</v>
      </c>
      <c r="CV49" s="5">
        <f t="shared" si="36"/>
        <v>60</v>
      </c>
      <c r="CW49" s="4">
        <f t="shared" si="36"/>
        <v>56</v>
      </c>
      <c r="CX49" s="6">
        <f t="shared" si="25"/>
        <v>12</v>
      </c>
      <c r="CY49" s="162">
        <v>880</v>
      </c>
      <c r="CZ49" s="171">
        <f t="shared" si="26"/>
        <v>10560</v>
      </c>
      <c r="DB49" s="2">
        <f t="shared" si="34"/>
        <v>12</v>
      </c>
      <c r="DC49" s="61"/>
      <c r="DD49" s="143"/>
      <c r="DE49" s="149">
        <f t="shared" si="35"/>
        <v>12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10</v>
      </c>
      <c r="G53" s="62"/>
      <c r="H53" s="143"/>
      <c r="I53" s="13">
        <f t="shared" si="0"/>
        <v>10</v>
      </c>
      <c r="J53" s="62">
        <v>14</v>
      </c>
      <c r="K53" s="143">
        <v>4</v>
      </c>
      <c r="L53" s="13">
        <f t="shared" si="1"/>
        <v>20</v>
      </c>
      <c r="M53" s="62">
        <v>9</v>
      </c>
      <c r="N53" s="143">
        <v>14</v>
      </c>
      <c r="O53" s="13">
        <f t="shared" si="2"/>
        <v>15</v>
      </c>
      <c r="P53" s="62"/>
      <c r="Q53" s="143"/>
      <c r="R53" s="13">
        <f t="shared" si="3"/>
        <v>15</v>
      </c>
      <c r="S53" s="62">
        <v>12</v>
      </c>
      <c r="T53" s="143">
        <v>7</v>
      </c>
      <c r="U53" s="13">
        <f t="shared" si="4"/>
        <v>20</v>
      </c>
      <c r="V53" s="62">
        <v>7</v>
      </c>
      <c r="W53" s="143">
        <v>7</v>
      </c>
      <c r="X53" s="13">
        <f t="shared" si="5"/>
        <v>20</v>
      </c>
      <c r="Y53" s="62">
        <v>14</v>
      </c>
      <c r="Z53" s="143">
        <v>14</v>
      </c>
      <c r="AA53" s="13">
        <f t="shared" si="27"/>
        <v>20</v>
      </c>
      <c r="AB53" s="62"/>
      <c r="AC53" s="143"/>
      <c r="AD53" s="13">
        <f t="shared" si="28"/>
        <v>20</v>
      </c>
      <c r="AE53" s="62"/>
      <c r="AF53" s="143">
        <v>3</v>
      </c>
      <c r="AG53" s="13">
        <f t="shared" si="29"/>
        <v>17</v>
      </c>
      <c r="AH53" s="62">
        <v>15</v>
      </c>
      <c r="AI53" s="143">
        <v>12</v>
      </c>
      <c r="AJ53" s="13">
        <f t="shared" si="30"/>
        <v>20</v>
      </c>
      <c r="AK53" s="62"/>
      <c r="AL53" s="143"/>
      <c r="AM53" s="13">
        <f t="shared" si="6"/>
        <v>20</v>
      </c>
      <c r="AN53" s="62">
        <v>1</v>
      </c>
      <c r="AO53" s="143">
        <v>6</v>
      </c>
      <c r="AP53" s="13">
        <f t="shared" si="7"/>
        <v>15</v>
      </c>
      <c r="AQ53" s="62">
        <v>11</v>
      </c>
      <c r="AR53" s="143">
        <v>6</v>
      </c>
      <c r="AS53" s="13">
        <f t="shared" si="8"/>
        <v>20</v>
      </c>
      <c r="AT53" s="62">
        <v>8</v>
      </c>
      <c r="AU53" s="143">
        <f>13</f>
        <v>13</v>
      </c>
      <c r="AV53" s="13">
        <f t="shared" si="9"/>
        <v>15</v>
      </c>
      <c r="AW53" s="62"/>
      <c r="AX53" s="143"/>
      <c r="AY53" s="13">
        <f t="shared" si="10"/>
        <v>15</v>
      </c>
      <c r="AZ53" s="62">
        <v>10</v>
      </c>
      <c r="BA53" s="143">
        <v>5</v>
      </c>
      <c r="BB53" s="13">
        <f t="shared" si="11"/>
        <v>20</v>
      </c>
      <c r="BC53" s="62">
        <v>8</v>
      </c>
      <c r="BD53" s="143">
        <f>13</f>
        <v>13</v>
      </c>
      <c r="BE53" s="13">
        <f t="shared" si="12"/>
        <v>15</v>
      </c>
      <c r="BF53" s="62"/>
      <c r="BG53" s="143"/>
      <c r="BH53" s="13">
        <f t="shared" si="13"/>
        <v>15</v>
      </c>
      <c r="BI53" s="62">
        <v>13</v>
      </c>
      <c r="BJ53" s="143">
        <v>8</v>
      </c>
      <c r="BK53" s="13">
        <f t="shared" si="14"/>
        <v>20</v>
      </c>
      <c r="BL53" s="62">
        <v>7</v>
      </c>
      <c r="BM53" s="143">
        <f>7</f>
        <v>7</v>
      </c>
      <c r="BN53" s="13">
        <f t="shared" si="15"/>
        <v>20</v>
      </c>
      <c r="BO53" s="62">
        <v>12</v>
      </c>
      <c r="BP53" s="143">
        <v>17</v>
      </c>
      <c r="BQ53" s="13">
        <f t="shared" si="16"/>
        <v>15</v>
      </c>
      <c r="BR53" s="62"/>
      <c r="BS53" s="143"/>
      <c r="BT53" s="13">
        <f t="shared" si="17"/>
        <v>15</v>
      </c>
      <c r="BU53" s="62">
        <v>12</v>
      </c>
      <c r="BV53" s="143">
        <v>7</v>
      </c>
      <c r="BW53" s="13">
        <f t="shared" si="18"/>
        <v>20</v>
      </c>
      <c r="BX53" s="62">
        <v>8</v>
      </c>
      <c r="BY53" s="143">
        <v>13</v>
      </c>
      <c r="BZ53" s="13">
        <f t="shared" si="19"/>
        <v>15</v>
      </c>
      <c r="CA53" s="62"/>
      <c r="CB53" s="143"/>
      <c r="CC53" s="13">
        <f t="shared" si="20"/>
        <v>15</v>
      </c>
      <c r="CD53" s="62">
        <v>6</v>
      </c>
      <c r="CE53" s="143">
        <v>6</v>
      </c>
      <c r="CF53" s="13">
        <f t="shared" si="21"/>
        <v>15</v>
      </c>
      <c r="CG53" s="62">
        <v>7</v>
      </c>
      <c r="CH53" s="143">
        <v>2</v>
      </c>
      <c r="CI53" s="13">
        <f>CF53+CG53-CH53</f>
        <v>20</v>
      </c>
      <c r="CJ53" s="62">
        <v>7</v>
      </c>
      <c r="CK53" s="143">
        <v>12</v>
      </c>
      <c r="CL53" s="13">
        <f>CI53+CJ53-CK53</f>
        <v>15</v>
      </c>
      <c r="CM53" s="62"/>
      <c r="CN53" s="143"/>
      <c r="CO53" s="13">
        <f t="shared" si="22"/>
        <v>15</v>
      </c>
      <c r="CP53" s="62">
        <v>5</v>
      </c>
      <c r="CQ53" s="143">
        <v>10</v>
      </c>
      <c r="CR53" s="13">
        <f t="shared" si="33"/>
        <v>10</v>
      </c>
      <c r="CS53" s="62"/>
      <c r="CT53" s="143"/>
      <c r="CU53" s="14">
        <f t="shared" si="23"/>
        <v>10</v>
      </c>
      <c r="CV53" s="5">
        <f t="shared" si="36"/>
        <v>186</v>
      </c>
      <c r="CW53" s="4">
        <f t="shared" si="36"/>
        <v>186</v>
      </c>
      <c r="CX53" s="6">
        <f t="shared" si="25"/>
        <v>10</v>
      </c>
      <c r="CY53" s="162">
        <v>85</v>
      </c>
      <c r="CZ53" s="171">
        <f t="shared" si="26"/>
        <v>850</v>
      </c>
      <c r="DB53" s="2">
        <f t="shared" si="34"/>
        <v>10</v>
      </c>
      <c r="DC53" s="61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5</v>
      </c>
      <c r="G55" s="62"/>
      <c r="H55" s="143"/>
      <c r="I55" s="13">
        <f t="shared" si="0"/>
        <v>5</v>
      </c>
      <c r="J55" s="62">
        <v>10</v>
      </c>
      <c r="K55" s="143"/>
      <c r="L55" s="13">
        <f t="shared" si="1"/>
        <v>15</v>
      </c>
      <c r="M55" s="62"/>
      <c r="N55" s="143"/>
      <c r="O55" s="13">
        <f t="shared" si="2"/>
        <v>15</v>
      </c>
      <c r="P55" s="62"/>
      <c r="Q55" s="143"/>
      <c r="R55" s="13">
        <f t="shared" si="3"/>
        <v>15</v>
      </c>
      <c r="S55" s="62"/>
      <c r="T55" s="143">
        <v>7</v>
      </c>
      <c r="U55" s="13">
        <f t="shared" si="4"/>
        <v>8</v>
      </c>
      <c r="V55" s="62"/>
      <c r="W55" s="143"/>
      <c r="X55" s="13">
        <f t="shared" si="5"/>
        <v>8</v>
      </c>
      <c r="Y55" s="62"/>
      <c r="Z55" s="143"/>
      <c r="AA55" s="13">
        <f t="shared" si="27"/>
        <v>8</v>
      </c>
      <c r="AB55" s="62"/>
      <c r="AC55" s="143"/>
      <c r="AD55" s="13">
        <f t="shared" si="28"/>
        <v>8</v>
      </c>
      <c r="AE55" s="62"/>
      <c r="AF55" s="143"/>
      <c r="AG55" s="13">
        <f t="shared" si="29"/>
        <v>8</v>
      </c>
      <c r="AH55" s="62"/>
      <c r="AI55" s="143">
        <v>8</v>
      </c>
      <c r="AJ55" s="13">
        <f t="shared" si="30"/>
        <v>0</v>
      </c>
      <c r="AK55" s="62"/>
      <c r="AL55" s="143"/>
      <c r="AM55" s="13">
        <f t="shared" si="6"/>
        <v>0</v>
      </c>
      <c r="AN55" s="62">
        <v>10</v>
      </c>
      <c r="AO55" s="143"/>
      <c r="AP55" s="13">
        <f t="shared" si="7"/>
        <v>10</v>
      </c>
      <c r="AQ55" s="62"/>
      <c r="AR55" s="143"/>
      <c r="AS55" s="13">
        <f t="shared" si="8"/>
        <v>10</v>
      </c>
      <c r="AT55" s="62"/>
      <c r="AU55" s="143"/>
      <c r="AV55" s="13">
        <f t="shared" si="9"/>
        <v>10</v>
      </c>
      <c r="AW55" s="62"/>
      <c r="AX55" s="143"/>
      <c r="AY55" s="13">
        <f t="shared" si="10"/>
        <v>10</v>
      </c>
      <c r="AZ55" s="62"/>
      <c r="BA55" s="143"/>
      <c r="BB55" s="13">
        <f t="shared" si="11"/>
        <v>10</v>
      </c>
      <c r="BC55" s="62"/>
      <c r="BD55" s="143">
        <v>7</v>
      </c>
      <c r="BE55" s="13">
        <f t="shared" si="12"/>
        <v>3</v>
      </c>
      <c r="BF55" s="62"/>
      <c r="BG55" s="143"/>
      <c r="BH55" s="13">
        <f t="shared" si="13"/>
        <v>3</v>
      </c>
      <c r="BI55" s="62"/>
      <c r="BJ55" s="143"/>
      <c r="BK55" s="13">
        <f t="shared" si="14"/>
        <v>3</v>
      </c>
      <c r="BL55" s="62">
        <v>10</v>
      </c>
      <c r="BM55" s="143"/>
      <c r="BN55" s="13">
        <f t="shared" si="15"/>
        <v>13</v>
      </c>
      <c r="BO55" s="62"/>
      <c r="BP55" s="143"/>
      <c r="BQ55" s="13">
        <f t="shared" si="16"/>
        <v>13</v>
      </c>
      <c r="BR55" s="62"/>
      <c r="BS55" s="143"/>
      <c r="BT55" s="13">
        <f t="shared" si="17"/>
        <v>13</v>
      </c>
      <c r="BU55" s="62"/>
      <c r="BV55" s="143"/>
      <c r="BW55" s="13">
        <f t="shared" si="18"/>
        <v>13</v>
      </c>
      <c r="BX55" s="62"/>
      <c r="BY55" s="143"/>
      <c r="BZ55" s="13">
        <f t="shared" si="19"/>
        <v>13</v>
      </c>
      <c r="CA55" s="62"/>
      <c r="CB55" s="143"/>
      <c r="CC55" s="13">
        <f t="shared" si="20"/>
        <v>13</v>
      </c>
      <c r="CD55" s="62"/>
      <c r="CE55" s="143"/>
      <c r="CF55" s="13">
        <f t="shared" si="21"/>
        <v>13</v>
      </c>
      <c r="CG55" s="62">
        <v>10</v>
      </c>
      <c r="CH55" s="143">
        <v>7</v>
      </c>
      <c r="CI55" s="13">
        <f t="shared" si="31"/>
        <v>16</v>
      </c>
      <c r="CJ55" s="62"/>
      <c r="CK55" s="143"/>
      <c r="CL55" s="13">
        <f t="shared" si="32"/>
        <v>16</v>
      </c>
      <c r="CM55" s="62"/>
      <c r="CN55" s="143"/>
      <c r="CO55" s="13">
        <f t="shared" si="22"/>
        <v>16</v>
      </c>
      <c r="CP55" s="62"/>
      <c r="CQ55" s="143"/>
      <c r="CR55" s="13">
        <f t="shared" si="33"/>
        <v>16</v>
      </c>
      <c r="CS55" s="62"/>
      <c r="CT55" s="143"/>
      <c r="CU55" s="14">
        <f t="shared" si="23"/>
        <v>16</v>
      </c>
      <c r="CV55" s="5">
        <f t="shared" si="36"/>
        <v>40</v>
      </c>
      <c r="CW55" s="4">
        <f t="shared" si="36"/>
        <v>29</v>
      </c>
      <c r="CX55" s="6">
        <f t="shared" si="25"/>
        <v>16</v>
      </c>
      <c r="CY55" s="162">
        <v>105</v>
      </c>
      <c r="CZ55" s="171">
        <f t="shared" si="26"/>
        <v>1680</v>
      </c>
      <c r="DB55" s="2">
        <f t="shared" si="34"/>
        <v>16</v>
      </c>
      <c r="DC55" s="61"/>
      <c r="DD55" s="143"/>
      <c r="DE55" s="149">
        <f t="shared" si="35"/>
        <v>16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>
        <v>1</v>
      </c>
      <c r="W56" s="143"/>
      <c r="X56" s="13">
        <f t="shared" si="5"/>
        <v>1</v>
      </c>
      <c r="Y56" s="62"/>
      <c r="Z56" s="143">
        <v>1</v>
      </c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1</v>
      </c>
      <c r="CW56" s="4">
        <f t="shared" si="36"/>
        <v>1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9.3000000000000007</v>
      </c>
      <c r="G58" s="62"/>
      <c r="H58" s="143"/>
      <c r="I58" s="13">
        <f t="shared" si="0"/>
        <v>9.3000000000000007</v>
      </c>
      <c r="J58" s="62"/>
      <c r="K58" s="143">
        <f>1.5</f>
        <v>1.5</v>
      </c>
      <c r="L58" s="13">
        <f t="shared" si="1"/>
        <v>7.8000000000000007</v>
      </c>
      <c r="M58" s="62">
        <v>10</v>
      </c>
      <c r="N58" s="143"/>
      <c r="O58" s="13">
        <f t="shared" si="2"/>
        <v>17.8</v>
      </c>
      <c r="P58" s="62"/>
      <c r="Q58" s="143"/>
      <c r="R58" s="13">
        <f t="shared" si="3"/>
        <v>17.8</v>
      </c>
      <c r="S58" s="62"/>
      <c r="T58" s="143">
        <f>3+2.9+3.1</f>
        <v>9</v>
      </c>
      <c r="U58" s="13">
        <f t="shared" si="4"/>
        <v>8.8000000000000007</v>
      </c>
      <c r="V58" s="62"/>
      <c r="W58" s="143"/>
      <c r="X58" s="13">
        <f t="shared" si="5"/>
        <v>8.8000000000000007</v>
      </c>
      <c r="Y58" s="62"/>
      <c r="Z58" s="143">
        <f>1.9+1.6</f>
        <v>3.5</v>
      </c>
      <c r="AA58" s="13">
        <f t="shared" si="27"/>
        <v>5.3000000000000007</v>
      </c>
      <c r="AB58" s="62"/>
      <c r="AC58" s="143"/>
      <c r="AD58" s="13">
        <f t="shared" si="28"/>
        <v>5.3000000000000007</v>
      </c>
      <c r="AE58" s="62">
        <v>10</v>
      </c>
      <c r="AF58" s="143"/>
      <c r="AG58" s="13">
        <f t="shared" si="29"/>
        <v>15.3</v>
      </c>
      <c r="AH58" s="62"/>
      <c r="AI58" s="143">
        <f>2+1.9+2.1</f>
        <v>6</v>
      </c>
      <c r="AJ58" s="13">
        <f t="shared" si="30"/>
        <v>9.3000000000000007</v>
      </c>
      <c r="AK58" s="62"/>
      <c r="AL58" s="143">
        <f>2.3+1.6</f>
        <v>3.9</v>
      </c>
      <c r="AM58" s="13">
        <f t="shared" si="6"/>
        <v>5.4</v>
      </c>
      <c r="AN58" s="62">
        <v>10</v>
      </c>
      <c r="AO58" s="143"/>
      <c r="AP58" s="13">
        <f t="shared" si="7"/>
        <v>15.4</v>
      </c>
      <c r="AQ58" s="62">
        <v>10</v>
      </c>
      <c r="AR58" s="143">
        <f>0.2+0.2+0.3</f>
        <v>0.7</v>
      </c>
      <c r="AS58" s="13">
        <f t="shared" si="8"/>
        <v>24.7</v>
      </c>
      <c r="AT58" s="62">
        <v>10</v>
      </c>
      <c r="AU58" s="143">
        <f>1.7</f>
        <v>1.7</v>
      </c>
      <c r="AV58" s="13">
        <f t="shared" si="9"/>
        <v>33</v>
      </c>
      <c r="AW58" s="62"/>
      <c r="AX58" s="143"/>
      <c r="AY58" s="13">
        <f t="shared" si="10"/>
        <v>33</v>
      </c>
      <c r="AZ58" s="62"/>
      <c r="BA58" s="143">
        <f>1.9+2.3+7+2+7.2</f>
        <v>20.399999999999999</v>
      </c>
      <c r="BB58" s="13">
        <f t="shared" si="11"/>
        <v>12.600000000000001</v>
      </c>
      <c r="BC58" s="62"/>
      <c r="BD58" s="143"/>
      <c r="BE58" s="13">
        <f t="shared" si="12"/>
        <v>12.600000000000001</v>
      </c>
      <c r="BF58" s="62"/>
      <c r="BG58" s="143"/>
      <c r="BH58" s="13">
        <f t="shared" si="13"/>
        <v>12.600000000000001</v>
      </c>
      <c r="BI58" s="62"/>
      <c r="BJ58" s="143">
        <v>2.4</v>
      </c>
      <c r="BK58" s="13">
        <f t="shared" si="14"/>
        <v>10.200000000000001</v>
      </c>
      <c r="BL58" s="62">
        <v>10</v>
      </c>
      <c r="BM58" s="143"/>
      <c r="BN58" s="13">
        <f t="shared" si="15"/>
        <v>20.200000000000003</v>
      </c>
      <c r="BO58" s="62"/>
      <c r="BP58" s="143"/>
      <c r="BQ58" s="13">
        <f t="shared" si="16"/>
        <v>20.200000000000003</v>
      </c>
      <c r="BR58" s="62"/>
      <c r="BS58" s="143"/>
      <c r="BT58" s="13">
        <f t="shared" si="17"/>
        <v>20.200000000000003</v>
      </c>
      <c r="BU58" s="62"/>
      <c r="BV58" s="143">
        <f>0.6+4.1+6</f>
        <v>10.7</v>
      </c>
      <c r="BW58" s="13">
        <f t="shared" si="18"/>
        <v>9.5000000000000036</v>
      </c>
      <c r="BX58" s="62">
        <v>10</v>
      </c>
      <c r="BY58" s="143">
        <f>1.6+1.6+1.1</f>
        <v>4.3000000000000007</v>
      </c>
      <c r="BZ58" s="13">
        <f t="shared" si="19"/>
        <v>15.200000000000003</v>
      </c>
      <c r="CA58" s="62"/>
      <c r="CB58" s="143">
        <f>2.3</f>
        <v>2.2999999999999998</v>
      </c>
      <c r="CC58" s="13">
        <f t="shared" si="20"/>
        <v>12.900000000000002</v>
      </c>
      <c r="CD58" s="62"/>
      <c r="CE58" s="143"/>
      <c r="CF58" s="13">
        <f t="shared" si="21"/>
        <v>12.900000000000002</v>
      </c>
      <c r="CG58" s="62"/>
      <c r="CH58" s="143">
        <f>0.3</f>
        <v>0.3</v>
      </c>
      <c r="CI58" s="13">
        <f t="shared" si="31"/>
        <v>12.600000000000001</v>
      </c>
      <c r="CJ58" s="62"/>
      <c r="CK58" s="143">
        <f>1.6</f>
        <v>1.6</v>
      </c>
      <c r="CL58" s="13">
        <f t="shared" si="32"/>
        <v>11.000000000000002</v>
      </c>
      <c r="CM58" s="62"/>
      <c r="CN58" s="143"/>
      <c r="CO58" s="13">
        <f t="shared" si="22"/>
        <v>11.000000000000002</v>
      </c>
      <c r="CP58" s="62"/>
      <c r="CQ58" s="143">
        <f>1.9+1.7</f>
        <v>3.5999999999999996</v>
      </c>
      <c r="CR58" s="13">
        <f t="shared" si="33"/>
        <v>7.4000000000000021</v>
      </c>
      <c r="CS58" s="62"/>
      <c r="CT58" s="143"/>
      <c r="CU58" s="14">
        <f t="shared" si="23"/>
        <v>7.4000000000000021</v>
      </c>
      <c r="CV58" s="5">
        <f t="shared" si="36"/>
        <v>70</v>
      </c>
      <c r="CW58" s="4">
        <f t="shared" si="36"/>
        <v>71.899999999999977</v>
      </c>
      <c r="CX58" s="6">
        <f t="shared" si="25"/>
        <v>7.4000000000000021</v>
      </c>
      <c r="CY58" s="162">
        <v>250</v>
      </c>
      <c r="CZ58" s="171">
        <f t="shared" si="26"/>
        <v>1850.0000000000005</v>
      </c>
      <c r="DB58" s="2">
        <f t="shared" si="34"/>
        <v>7.4000000000000021</v>
      </c>
      <c r="DC58" s="61"/>
      <c r="DD58" s="143"/>
      <c r="DE58" s="149">
        <f t="shared" si="35"/>
        <v>7.4000000000000021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41</v>
      </c>
      <c r="G59" s="62"/>
      <c r="H59" s="143"/>
      <c r="I59" s="13">
        <f t="shared" si="0"/>
        <v>41</v>
      </c>
      <c r="J59" s="62">
        <v>40</v>
      </c>
      <c r="K59" s="143">
        <f>1+3+4+20+6</f>
        <v>34</v>
      </c>
      <c r="L59" s="13">
        <f t="shared" si="1"/>
        <v>47</v>
      </c>
      <c r="M59" s="62">
        <f>30+10</f>
        <v>40</v>
      </c>
      <c r="N59" s="143">
        <f>3+6+39</f>
        <v>48</v>
      </c>
      <c r="O59" s="13">
        <f t="shared" si="2"/>
        <v>39</v>
      </c>
      <c r="P59" s="62"/>
      <c r="Q59" s="143">
        <f>1</f>
        <v>1</v>
      </c>
      <c r="R59" s="30">
        <f t="shared" si="3"/>
        <v>38</v>
      </c>
      <c r="S59" s="62">
        <v>30</v>
      </c>
      <c r="T59" s="143">
        <f>3+6+16</f>
        <v>25</v>
      </c>
      <c r="U59" s="13">
        <f t="shared" si="4"/>
        <v>43</v>
      </c>
      <c r="V59" s="62">
        <v>50</v>
      </c>
      <c r="W59" s="143">
        <f>4+5+18</f>
        <v>27</v>
      </c>
      <c r="X59" s="13">
        <f t="shared" si="5"/>
        <v>66</v>
      </c>
      <c r="Y59" s="62">
        <v>30</v>
      </c>
      <c r="Z59" s="143">
        <f>7+13+39</f>
        <v>59</v>
      </c>
      <c r="AA59" s="13">
        <f t="shared" si="27"/>
        <v>37</v>
      </c>
      <c r="AB59" s="62"/>
      <c r="AC59" s="143"/>
      <c r="AD59" s="13">
        <f t="shared" si="28"/>
        <v>37</v>
      </c>
      <c r="AE59" s="62">
        <v>40</v>
      </c>
      <c r="AF59" s="143">
        <f>1+7+19</f>
        <v>27</v>
      </c>
      <c r="AG59" s="13">
        <f t="shared" si="29"/>
        <v>50</v>
      </c>
      <c r="AH59" s="62">
        <v>40</v>
      </c>
      <c r="AI59" s="143">
        <f>4+11+36</f>
        <v>51</v>
      </c>
      <c r="AJ59" s="13">
        <f t="shared" si="30"/>
        <v>39</v>
      </c>
      <c r="AK59" s="62"/>
      <c r="AL59" s="143"/>
      <c r="AM59" s="13">
        <f t="shared" si="6"/>
        <v>39</v>
      </c>
      <c r="AN59" s="62">
        <v>30</v>
      </c>
      <c r="AO59" s="143">
        <f>3+8+21</f>
        <v>32</v>
      </c>
      <c r="AP59" s="13">
        <f t="shared" si="7"/>
        <v>37</v>
      </c>
      <c r="AQ59" s="62">
        <v>50</v>
      </c>
      <c r="AR59" s="143">
        <f>3+20</f>
        <v>23</v>
      </c>
      <c r="AS59" s="13">
        <f t="shared" si="8"/>
        <v>64</v>
      </c>
      <c r="AT59" s="62">
        <v>30</v>
      </c>
      <c r="AU59" s="143">
        <f>5+13+39</f>
        <v>57</v>
      </c>
      <c r="AV59" s="13">
        <f t="shared" si="9"/>
        <v>37</v>
      </c>
      <c r="AW59" s="62"/>
      <c r="AX59" s="143"/>
      <c r="AY59" s="13">
        <f t="shared" si="10"/>
        <v>37</v>
      </c>
      <c r="AZ59" s="62">
        <v>40</v>
      </c>
      <c r="BA59" s="143">
        <f>1+3+3+27</f>
        <v>34</v>
      </c>
      <c r="BB59" s="13">
        <f t="shared" si="11"/>
        <v>43</v>
      </c>
      <c r="BC59" s="62">
        <v>30</v>
      </c>
      <c r="BD59" s="143">
        <f>1+1+4+10+37</f>
        <v>53</v>
      </c>
      <c r="BE59" s="13">
        <f t="shared" si="12"/>
        <v>20</v>
      </c>
      <c r="BF59" s="62">
        <v>20</v>
      </c>
      <c r="BG59" s="143">
        <f>1</f>
        <v>1</v>
      </c>
      <c r="BH59" s="13">
        <f t="shared" si="13"/>
        <v>39</v>
      </c>
      <c r="BI59" s="62">
        <v>40</v>
      </c>
      <c r="BJ59" s="143">
        <f>8+3+24</f>
        <v>35</v>
      </c>
      <c r="BK59" s="13">
        <f t="shared" si="14"/>
        <v>44</v>
      </c>
      <c r="BL59" s="62">
        <v>50</v>
      </c>
      <c r="BM59" s="143">
        <f>3+6+19</f>
        <v>28</v>
      </c>
      <c r="BN59" s="13">
        <f t="shared" si="15"/>
        <v>66</v>
      </c>
      <c r="BO59" s="62">
        <v>30</v>
      </c>
      <c r="BP59" s="143">
        <f>6+10+28+14</f>
        <v>58</v>
      </c>
      <c r="BQ59" s="13">
        <f t="shared" si="16"/>
        <v>38</v>
      </c>
      <c r="BR59" s="62"/>
      <c r="BS59" s="143"/>
      <c r="BT59" s="13">
        <f t="shared" si="17"/>
        <v>38</v>
      </c>
      <c r="BU59" s="62">
        <v>40</v>
      </c>
      <c r="BV59" s="143">
        <f>2+8+20+3</f>
        <v>33</v>
      </c>
      <c r="BW59" s="13">
        <f t="shared" si="18"/>
        <v>45</v>
      </c>
      <c r="BX59" s="62">
        <v>40</v>
      </c>
      <c r="BY59" s="143">
        <f>11+1+4+34</f>
        <v>50</v>
      </c>
      <c r="BZ59" s="13">
        <f t="shared" si="19"/>
        <v>35</v>
      </c>
      <c r="CA59" s="62">
        <v>10</v>
      </c>
      <c r="CB59" s="143"/>
      <c r="CC59" s="13">
        <f t="shared" si="20"/>
        <v>45</v>
      </c>
      <c r="CD59" s="62">
        <v>30</v>
      </c>
      <c r="CE59" s="143">
        <f>4+9+17</f>
        <v>30</v>
      </c>
      <c r="CF59" s="13">
        <f t="shared" si="21"/>
        <v>45</v>
      </c>
      <c r="CG59" s="62">
        <v>50</v>
      </c>
      <c r="CH59" s="143">
        <f>3+5+17</f>
        <v>25</v>
      </c>
      <c r="CI59" s="13">
        <f t="shared" si="31"/>
        <v>70</v>
      </c>
      <c r="CJ59" s="62">
        <v>30</v>
      </c>
      <c r="CK59" s="143">
        <f>1+7+12+47-1</f>
        <v>66</v>
      </c>
      <c r="CL59" s="13">
        <f t="shared" si="32"/>
        <v>34</v>
      </c>
      <c r="CM59" s="62"/>
      <c r="CN59" s="143"/>
      <c r="CO59" s="13">
        <f t="shared" si="22"/>
        <v>34</v>
      </c>
      <c r="CP59" s="62">
        <v>30</v>
      </c>
      <c r="CQ59" s="143">
        <f>1+1+2+7+20</f>
        <v>31</v>
      </c>
      <c r="CR59" s="13">
        <f t="shared" si="33"/>
        <v>33</v>
      </c>
      <c r="CS59" s="62"/>
      <c r="CT59" s="143"/>
      <c r="CU59" s="14">
        <f t="shared" si="23"/>
        <v>33</v>
      </c>
      <c r="CV59" s="5">
        <f t="shared" si="36"/>
        <v>820</v>
      </c>
      <c r="CW59" s="4">
        <f t="shared" si="36"/>
        <v>828</v>
      </c>
      <c r="CX59" s="6">
        <f t="shared" si="25"/>
        <v>33</v>
      </c>
      <c r="CY59" s="162">
        <v>214</v>
      </c>
      <c r="CZ59" s="171">
        <f t="shared" si="26"/>
        <v>7062</v>
      </c>
      <c r="DB59" s="2">
        <f t="shared" si="34"/>
        <v>33</v>
      </c>
      <c r="DC59" s="61"/>
      <c r="DD59" s="143"/>
      <c r="DE59" s="149">
        <f t="shared" si="35"/>
        <v>33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17</v>
      </c>
      <c r="G60" s="62"/>
      <c r="H60" s="143"/>
      <c r="I60" s="13">
        <f t="shared" si="0"/>
        <v>17</v>
      </c>
      <c r="J60" s="62">
        <f>-15+48</f>
        <v>33</v>
      </c>
      <c r="K60" s="143">
        <f>2+3+4+8</f>
        <v>17</v>
      </c>
      <c r="L60" s="13">
        <f t="shared" si="1"/>
        <v>33</v>
      </c>
      <c r="M60" s="62">
        <f>24+24-6</f>
        <v>42</v>
      </c>
      <c r="N60" s="143">
        <f>4+4+4+18</f>
        <v>30</v>
      </c>
      <c r="O60" s="13">
        <f t="shared" si="2"/>
        <v>45</v>
      </c>
      <c r="P60" s="62"/>
      <c r="Q60" s="143">
        <f>6+1</f>
        <v>7</v>
      </c>
      <c r="R60" s="30">
        <f t="shared" si="3"/>
        <v>38</v>
      </c>
      <c r="S60" s="62">
        <v>24</v>
      </c>
      <c r="T60" s="143">
        <f>3+4+10</f>
        <v>17</v>
      </c>
      <c r="U60" s="13">
        <f t="shared" si="4"/>
        <v>45</v>
      </c>
      <c r="V60" s="62">
        <v>24</v>
      </c>
      <c r="W60" s="143">
        <f>16</f>
        <v>16</v>
      </c>
      <c r="X60" s="13">
        <f t="shared" si="5"/>
        <v>53</v>
      </c>
      <c r="Y60" s="62">
        <v>24</v>
      </c>
      <c r="Z60" s="143">
        <f>3+24+5+5</f>
        <v>37</v>
      </c>
      <c r="AA60" s="13">
        <f t="shared" si="27"/>
        <v>40</v>
      </c>
      <c r="AB60" s="62"/>
      <c r="AC60" s="143"/>
      <c r="AD60" s="13">
        <f t="shared" si="28"/>
        <v>40</v>
      </c>
      <c r="AE60" s="62">
        <v>48</v>
      </c>
      <c r="AF60" s="143">
        <f>10</f>
        <v>10</v>
      </c>
      <c r="AG60" s="13">
        <f t="shared" si="29"/>
        <v>78</v>
      </c>
      <c r="AH60" s="62">
        <v>24</v>
      </c>
      <c r="AI60" s="143">
        <f>6+18</f>
        <v>24</v>
      </c>
      <c r="AJ60" s="13">
        <f t="shared" si="30"/>
        <v>78</v>
      </c>
      <c r="AK60" s="62"/>
      <c r="AL60" s="143">
        <f>6+5+6+4</f>
        <v>21</v>
      </c>
      <c r="AM60" s="13">
        <f t="shared" si="6"/>
        <v>57</v>
      </c>
      <c r="AN60" s="62">
        <v>24</v>
      </c>
      <c r="AO60" s="143">
        <f>4+22</f>
        <v>26</v>
      </c>
      <c r="AP60" s="13">
        <f t="shared" si="7"/>
        <v>55</v>
      </c>
      <c r="AQ60" s="62">
        <v>24</v>
      </c>
      <c r="AR60" s="143">
        <f>2+1+4</f>
        <v>7</v>
      </c>
      <c r="AS60" s="13">
        <f t="shared" si="8"/>
        <v>72</v>
      </c>
      <c r="AT60" s="62">
        <v>24</v>
      </c>
      <c r="AU60" s="143">
        <f>6+22</f>
        <v>28</v>
      </c>
      <c r="AV60" s="13">
        <f t="shared" si="9"/>
        <v>68</v>
      </c>
      <c r="AW60" s="62"/>
      <c r="AX60" s="143"/>
      <c r="AY60" s="13">
        <f t="shared" si="10"/>
        <v>68</v>
      </c>
      <c r="AZ60" s="62">
        <v>24</v>
      </c>
      <c r="BA60" s="143">
        <f>6+2+6+16</f>
        <v>30</v>
      </c>
      <c r="BB60" s="13">
        <f t="shared" si="11"/>
        <v>62</v>
      </c>
      <c r="BC60" s="62">
        <v>0</v>
      </c>
      <c r="BD60" s="143">
        <f>2+1+3+4+34</f>
        <v>44</v>
      </c>
      <c r="BE60" s="13">
        <f t="shared" si="12"/>
        <v>18</v>
      </c>
      <c r="BF60" s="62">
        <v>24</v>
      </c>
      <c r="BG60" s="143">
        <f>6+1+4</f>
        <v>11</v>
      </c>
      <c r="BH60" s="13">
        <f t="shared" si="13"/>
        <v>31</v>
      </c>
      <c r="BI60" s="62">
        <f>-5-4+24</f>
        <v>15</v>
      </c>
      <c r="BJ60" s="143">
        <f>28+3</f>
        <v>31</v>
      </c>
      <c r="BK60" s="13">
        <f t="shared" si="14"/>
        <v>15</v>
      </c>
      <c r="BL60" s="62">
        <f>-4+24</f>
        <v>20</v>
      </c>
      <c r="BM60" s="143">
        <f>1+1+1+12</f>
        <v>15</v>
      </c>
      <c r="BN60" s="13">
        <f t="shared" si="15"/>
        <v>20</v>
      </c>
      <c r="BO60" s="62">
        <f>-8-4-4-18+48</f>
        <v>14</v>
      </c>
      <c r="BP60" s="143">
        <v>20</v>
      </c>
      <c r="BQ60" s="13">
        <f t="shared" si="16"/>
        <v>14</v>
      </c>
      <c r="BR60" s="62"/>
      <c r="BS60" s="143"/>
      <c r="BT60" s="13">
        <f t="shared" si="17"/>
        <v>14</v>
      </c>
      <c r="BU60" s="62">
        <f>-6-4-10+48</f>
        <v>28</v>
      </c>
      <c r="BV60" s="143">
        <v>14</v>
      </c>
      <c r="BW60" s="13">
        <f t="shared" si="18"/>
        <v>28</v>
      </c>
      <c r="BX60" s="62">
        <f>-6-4-6-2+24</f>
        <v>6</v>
      </c>
      <c r="BY60" s="143">
        <v>28</v>
      </c>
      <c r="BZ60" s="13">
        <f t="shared" si="19"/>
        <v>6</v>
      </c>
      <c r="CA60" s="62">
        <v>24</v>
      </c>
      <c r="CB60" s="143">
        <f>4+6</f>
        <v>10</v>
      </c>
      <c r="CC60" s="13">
        <f t="shared" si="20"/>
        <v>20</v>
      </c>
      <c r="CD60" s="62">
        <f>-13+24</f>
        <v>11</v>
      </c>
      <c r="CE60" s="143">
        <v>20</v>
      </c>
      <c r="CF60" s="13">
        <f t="shared" si="21"/>
        <v>11</v>
      </c>
      <c r="CG60" s="62">
        <f>-2-1-1-1-1-1-7+24+9</f>
        <v>19</v>
      </c>
      <c r="CH60" s="143">
        <v>11</v>
      </c>
      <c r="CI60" s="13">
        <f t="shared" si="31"/>
        <v>19</v>
      </c>
      <c r="CJ60" s="62">
        <f>-5-4-11+24</f>
        <v>4</v>
      </c>
      <c r="CK60" s="143">
        <f>19</f>
        <v>19</v>
      </c>
      <c r="CL60" s="13">
        <f t="shared" si="32"/>
        <v>4</v>
      </c>
      <c r="CM60" s="62"/>
      <c r="CN60" s="143"/>
      <c r="CO60" s="13">
        <f t="shared" si="22"/>
        <v>4</v>
      </c>
      <c r="CP60" s="62">
        <f>-1-2-6-4-2-12+48</f>
        <v>21</v>
      </c>
      <c r="CQ60" s="143">
        <v>4</v>
      </c>
      <c r="CR60" s="13">
        <f t="shared" si="33"/>
        <v>21</v>
      </c>
      <c r="CS60" s="62"/>
      <c r="CT60" s="143"/>
      <c r="CU60" s="14">
        <f t="shared" si="23"/>
        <v>21</v>
      </c>
      <c r="CV60" s="5">
        <f t="shared" si="36"/>
        <v>501</v>
      </c>
      <c r="CW60" s="4">
        <f t="shared" si="36"/>
        <v>497</v>
      </c>
      <c r="CX60" s="6">
        <f t="shared" si="25"/>
        <v>21</v>
      </c>
      <c r="CY60" s="162">
        <v>28</v>
      </c>
      <c r="CZ60" s="171">
        <f t="shared" si="26"/>
        <v>588</v>
      </c>
      <c r="DB60" s="2">
        <f t="shared" si="34"/>
        <v>21</v>
      </c>
      <c r="DC60" s="61"/>
      <c r="DD60" s="143"/>
      <c r="DE60" s="149">
        <f t="shared" si="35"/>
        <v>21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190</v>
      </c>
      <c r="G63" s="62"/>
      <c r="H63" s="143"/>
      <c r="I63" s="13">
        <f t="shared" si="0"/>
        <v>190</v>
      </c>
      <c r="J63" s="62">
        <v>280</v>
      </c>
      <c r="K63" s="143">
        <f>10+1+124</f>
        <v>135</v>
      </c>
      <c r="L63" s="13">
        <f t="shared" si="1"/>
        <v>335</v>
      </c>
      <c r="M63" s="62">
        <f>25+140</f>
        <v>165</v>
      </c>
      <c r="N63" s="143">
        <f>10+3+215</f>
        <v>228</v>
      </c>
      <c r="O63" s="13">
        <f t="shared" si="2"/>
        <v>272</v>
      </c>
      <c r="P63" s="62"/>
      <c r="Q63" s="143"/>
      <c r="R63" s="30">
        <f t="shared" si="3"/>
        <v>272</v>
      </c>
      <c r="S63" s="62">
        <v>280</v>
      </c>
      <c r="T63" s="143">
        <f>15+1+205</f>
        <v>221</v>
      </c>
      <c r="U63" s="13">
        <f t="shared" si="4"/>
        <v>331</v>
      </c>
      <c r="V63" s="62"/>
      <c r="W63" s="143">
        <f>5+90</f>
        <v>95</v>
      </c>
      <c r="X63" s="13">
        <f t="shared" si="5"/>
        <v>236</v>
      </c>
      <c r="Y63" s="62">
        <f>20+420</f>
        <v>440</v>
      </c>
      <c r="Z63" s="143">
        <f>30+3+215</f>
        <v>248</v>
      </c>
      <c r="AA63" s="13">
        <f t="shared" si="27"/>
        <v>428</v>
      </c>
      <c r="AB63" s="62"/>
      <c r="AC63" s="143"/>
      <c r="AD63" s="13">
        <f t="shared" si="28"/>
        <v>428</v>
      </c>
      <c r="AE63" s="62">
        <v>280</v>
      </c>
      <c r="AF63" s="143">
        <f>20+3+200</f>
        <v>223</v>
      </c>
      <c r="AG63" s="13">
        <f t="shared" si="29"/>
        <v>485</v>
      </c>
      <c r="AH63" s="62"/>
      <c r="AI63" s="143">
        <f>10+1+200</f>
        <v>211</v>
      </c>
      <c r="AJ63" s="13">
        <f t="shared" si="30"/>
        <v>274</v>
      </c>
      <c r="AK63" s="62"/>
      <c r="AL63" s="143"/>
      <c r="AM63" s="13">
        <f t="shared" si="6"/>
        <v>274</v>
      </c>
      <c r="AN63" s="62">
        <v>280</v>
      </c>
      <c r="AO63" s="143">
        <f>10+105</f>
        <v>115</v>
      </c>
      <c r="AP63" s="13">
        <f t="shared" si="7"/>
        <v>439</v>
      </c>
      <c r="AQ63" s="62"/>
      <c r="AR63" s="143">
        <v>190</v>
      </c>
      <c r="AS63" s="13">
        <f t="shared" si="8"/>
        <v>249</v>
      </c>
      <c r="AT63" s="62">
        <v>280</v>
      </c>
      <c r="AU63" s="143">
        <f>15+4+200</f>
        <v>219</v>
      </c>
      <c r="AV63" s="13">
        <f t="shared" si="9"/>
        <v>310</v>
      </c>
      <c r="AW63" s="62"/>
      <c r="AX63" s="143"/>
      <c r="AY63" s="13">
        <f t="shared" si="10"/>
        <v>310</v>
      </c>
      <c r="AZ63" s="64"/>
      <c r="BA63" s="143">
        <f>10+4+95</f>
        <v>109</v>
      </c>
      <c r="BB63" s="13">
        <f t="shared" si="11"/>
        <v>201</v>
      </c>
      <c r="BC63" s="62">
        <v>280</v>
      </c>
      <c r="BD63" s="143">
        <f>30+6+150</f>
        <v>186</v>
      </c>
      <c r="BE63" s="13">
        <f t="shared" si="12"/>
        <v>295</v>
      </c>
      <c r="BF63" s="62"/>
      <c r="BG63" s="143"/>
      <c r="BH63" s="13">
        <f t="shared" si="13"/>
        <v>295</v>
      </c>
      <c r="BI63" s="62">
        <v>280</v>
      </c>
      <c r="BJ63" s="143">
        <f>15+100</f>
        <v>115</v>
      </c>
      <c r="BK63" s="13">
        <f t="shared" si="14"/>
        <v>460</v>
      </c>
      <c r="BL63" s="62">
        <v>140</v>
      </c>
      <c r="BM63" s="143">
        <f>14+310</f>
        <v>324</v>
      </c>
      <c r="BN63" s="13">
        <f t="shared" si="15"/>
        <v>276</v>
      </c>
      <c r="BO63" s="62">
        <v>280</v>
      </c>
      <c r="BP63" s="143">
        <f>15+135+60</f>
        <v>210</v>
      </c>
      <c r="BQ63" s="13">
        <f t="shared" si="16"/>
        <v>346</v>
      </c>
      <c r="BR63" s="62"/>
      <c r="BS63" s="143"/>
      <c r="BT63" s="13">
        <f t="shared" si="17"/>
        <v>346</v>
      </c>
      <c r="BU63" s="62">
        <v>140</v>
      </c>
      <c r="BV63" s="143">
        <f>20+2+270+20</f>
        <v>312</v>
      </c>
      <c r="BW63" s="13">
        <f t="shared" si="18"/>
        <v>174</v>
      </c>
      <c r="BX63" s="62">
        <f>40+280</f>
        <v>320</v>
      </c>
      <c r="BY63" s="143">
        <f>4+15+170</f>
        <v>189</v>
      </c>
      <c r="BZ63" s="13">
        <f t="shared" si="19"/>
        <v>305</v>
      </c>
      <c r="CA63" s="62"/>
      <c r="CB63" s="143"/>
      <c r="CC63" s="13">
        <f t="shared" si="20"/>
        <v>305</v>
      </c>
      <c r="CD63" s="62">
        <v>280</v>
      </c>
      <c r="CE63" s="143">
        <f>15+2+245</f>
        <v>262</v>
      </c>
      <c r="CF63" s="13">
        <f t="shared" si="21"/>
        <v>323</v>
      </c>
      <c r="CG63" s="62">
        <f>9+140</f>
        <v>149</v>
      </c>
      <c r="CH63" s="143">
        <f>25+2+170</f>
        <v>197</v>
      </c>
      <c r="CI63" s="13">
        <f t="shared" si="31"/>
        <v>275</v>
      </c>
      <c r="CJ63" s="62">
        <f>-10+280</f>
        <v>270</v>
      </c>
      <c r="CK63" s="143">
        <f>20+8+245</f>
        <v>273</v>
      </c>
      <c r="CL63" s="13">
        <f t="shared" si="32"/>
        <v>272</v>
      </c>
      <c r="CM63" s="62"/>
      <c r="CN63" s="143"/>
      <c r="CO63" s="13">
        <f t="shared" si="22"/>
        <v>272</v>
      </c>
      <c r="CP63" s="62">
        <f>-30+140</f>
        <v>110</v>
      </c>
      <c r="CQ63" s="143">
        <f>15+255</f>
        <v>270</v>
      </c>
      <c r="CR63" s="13">
        <f t="shared" si="33"/>
        <v>112</v>
      </c>
      <c r="CS63" s="62"/>
      <c r="CT63" s="143"/>
      <c r="CU63" s="14">
        <f t="shared" si="23"/>
        <v>112</v>
      </c>
      <c r="CV63" s="5">
        <f t="shared" si="36"/>
        <v>4254</v>
      </c>
      <c r="CW63" s="4">
        <f t="shared" si="36"/>
        <v>4332</v>
      </c>
      <c r="CX63" s="6">
        <f t="shared" si="25"/>
        <v>112</v>
      </c>
      <c r="CY63" s="162">
        <v>57</v>
      </c>
      <c r="CZ63" s="171">
        <f t="shared" si="26"/>
        <v>6384</v>
      </c>
      <c r="DB63" s="2">
        <f t="shared" si="34"/>
        <v>112</v>
      </c>
      <c r="DC63" s="61"/>
      <c r="DD63" s="143"/>
      <c r="DE63" s="149">
        <f t="shared" si="35"/>
        <v>112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5.6999999999999984</v>
      </c>
      <c r="G64" s="62"/>
      <c r="H64" s="143"/>
      <c r="I64" s="13">
        <f t="shared" si="0"/>
        <v>5.6999999999999984</v>
      </c>
      <c r="J64" s="62"/>
      <c r="K64" s="143"/>
      <c r="L64" s="13">
        <f t="shared" si="1"/>
        <v>5.6999999999999984</v>
      </c>
      <c r="M64" s="62"/>
      <c r="N64" s="143"/>
      <c r="O64" s="13">
        <f t="shared" si="2"/>
        <v>5.6999999999999984</v>
      </c>
      <c r="P64" s="62"/>
      <c r="Q64" s="143"/>
      <c r="R64" s="30">
        <f t="shared" si="3"/>
        <v>5.6999999999999984</v>
      </c>
      <c r="S64" s="62"/>
      <c r="T64" s="143"/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2"/>
      <c r="AI64" s="143"/>
      <c r="AJ64" s="13">
        <f t="shared" si="30"/>
        <v>5.6999999999999984</v>
      </c>
      <c r="AK64" s="62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90">
        <v>5.7</v>
      </c>
      <c r="BB64" s="13">
        <f t="shared" si="11"/>
        <v>0</v>
      </c>
      <c r="BC64" s="62"/>
      <c r="BD64" s="143"/>
      <c r="BE64" s="13">
        <f t="shared" si="12"/>
        <v>0</v>
      </c>
      <c r="BF64" s="62"/>
      <c r="BG64" s="143"/>
      <c r="BH64" s="13">
        <f t="shared" si="13"/>
        <v>0</v>
      </c>
      <c r="BI64" s="62"/>
      <c r="BJ64" s="143"/>
      <c r="BK64" s="13">
        <f t="shared" si="14"/>
        <v>0</v>
      </c>
      <c r="BL64" s="62"/>
      <c r="BM64" s="143"/>
      <c r="BN64" s="13">
        <f t="shared" si="15"/>
        <v>0</v>
      </c>
      <c r="BO64" s="62"/>
      <c r="BP64" s="143"/>
      <c r="BQ64" s="13">
        <f t="shared" si="16"/>
        <v>0</v>
      </c>
      <c r="BR64" s="62"/>
      <c r="BS64" s="143"/>
      <c r="BT64" s="13">
        <f t="shared" si="17"/>
        <v>0</v>
      </c>
      <c r="BU64" s="62"/>
      <c r="BV64" s="143"/>
      <c r="BW64" s="13">
        <f t="shared" si="18"/>
        <v>0</v>
      </c>
      <c r="BX64" s="62"/>
      <c r="BY64" s="143"/>
      <c r="BZ64" s="13">
        <f t="shared" si="19"/>
        <v>0</v>
      </c>
      <c r="CA64" s="62"/>
      <c r="CB64" s="143"/>
      <c r="CC64" s="13">
        <f t="shared" si="20"/>
        <v>0</v>
      </c>
      <c r="CD64" s="62"/>
      <c r="CE64" s="143"/>
      <c r="CF64" s="13">
        <f t="shared" si="21"/>
        <v>0</v>
      </c>
      <c r="CG64" s="62"/>
      <c r="CH64" s="143"/>
      <c r="CI64" s="13">
        <f t="shared" si="31"/>
        <v>0</v>
      </c>
      <c r="CJ64" s="62"/>
      <c r="CK64" s="143"/>
      <c r="CL64" s="13">
        <f t="shared" si="32"/>
        <v>0</v>
      </c>
      <c r="CM64" s="62"/>
      <c r="CN64" s="143"/>
      <c r="CO64" s="13">
        <f t="shared" si="22"/>
        <v>0</v>
      </c>
      <c r="CP64" s="62"/>
      <c r="CQ64" s="143"/>
      <c r="CR64" s="13">
        <f t="shared" si="33"/>
        <v>0</v>
      </c>
      <c r="CS64" s="62"/>
      <c r="CT64" s="143"/>
      <c r="CU64" s="14">
        <f t="shared" si="23"/>
        <v>0</v>
      </c>
      <c r="CV64" s="5">
        <f t="shared" si="36"/>
        <v>0</v>
      </c>
      <c r="CW64" s="4">
        <f t="shared" si="36"/>
        <v>5.7</v>
      </c>
      <c r="CX64" s="6">
        <f t="shared" si="25"/>
        <v>0</v>
      </c>
      <c r="CY64" s="162">
        <v>430</v>
      </c>
      <c r="CZ64" s="171">
        <f t="shared" si="26"/>
        <v>0</v>
      </c>
      <c r="DB64" s="2">
        <f t="shared" si="34"/>
        <v>0</v>
      </c>
      <c r="DC64" s="61"/>
      <c r="DD64" s="143"/>
      <c r="DE64" s="149">
        <f t="shared" si="35"/>
        <v>0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6</v>
      </c>
      <c r="G65" s="62"/>
      <c r="H65" s="143"/>
      <c r="I65" s="13">
        <f t="shared" si="0"/>
        <v>6</v>
      </c>
      <c r="J65" s="62"/>
      <c r="K65" s="143">
        <v>6</v>
      </c>
      <c r="L65" s="13">
        <f t="shared" si="1"/>
        <v>0</v>
      </c>
      <c r="M65" s="62">
        <v>11</v>
      </c>
      <c r="N65" s="143"/>
      <c r="O65" s="13">
        <f t="shared" si="2"/>
        <v>11</v>
      </c>
      <c r="P65" s="62">
        <v>1</v>
      </c>
      <c r="Q65" s="143">
        <f>3+3+5</f>
        <v>11</v>
      </c>
      <c r="R65" s="30">
        <f t="shared" si="3"/>
        <v>1</v>
      </c>
      <c r="S65" s="62">
        <v>4</v>
      </c>
      <c r="T65" s="143">
        <v>1</v>
      </c>
      <c r="U65" s="13">
        <f t="shared" si="4"/>
        <v>4</v>
      </c>
      <c r="V65" s="62">
        <v>4</v>
      </c>
      <c r="W65" s="143">
        <f>2+1+1</f>
        <v>4</v>
      </c>
      <c r="X65" s="13">
        <f t="shared" si="5"/>
        <v>4</v>
      </c>
      <c r="Y65" s="62">
        <v>18</v>
      </c>
      <c r="Z65" s="143">
        <f>3+1+4+3+3+3+5</f>
        <v>22</v>
      </c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>
        <v>15</v>
      </c>
      <c r="BY65" s="143"/>
      <c r="BZ65" s="13">
        <f t="shared" si="19"/>
        <v>15</v>
      </c>
      <c r="CA65" s="62"/>
      <c r="CB65" s="143">
        <v>10</v>
      </c>
      <c r="CC65" s="13">
        <f t="shared" si="20"/>
        <v>5</v>
      </c>
      <c r="CD65" s="62"/>
      <c r="CE65" s="143">
        <f>3+2</f>
        <v>5</v>
      </c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2"/>
      <c r="CT65" s="143"/>
      <c r="CU65" s="14">
        <f t="shared" si="23"/>
        <v>0</v>
      </c>
      <c r="CV65" s="5">
        <f t="shared" si="36"/>
        <v>53</v>
      </c>
      <c r="CW65" s="4">
        <f t="shared" si="36"/>
        <v>59</v>
      </c>
      <c r="CX65" s="6">
        <f t="shared" si="25"/>
        <v>0</v>
      </c>
      <c r="CY65" s="162">
        <v>95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286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32</v>
      </c>
      <c r="G70" s="62"/>
      <c r="H70" s="143"/>
      <c r="I70" s="13">
        <f>F70+G70-H70</f>
        <v>32</v>
      </c>
      <c r="J70" s="62"/>
      <c r="K70" s="143"/>
      <c r="L70" s="13">
        <f>I70+J70-K70</f>
        <v>32</v>
      </c>
      <c r="M70" s="62"/>
      <c r="N70" s="143"/>
      <c r="O70" s="13">
        <f>L70+M70-N70</f>
        <v>32</v>
      </c>
      <c r="P70" s="62"/>
      <c r="Q70" s="143"/>
      <c r="R70" s="30">
        <f>O70+P70-Q70</f>
        <v>32</v>
      </c>
      <c r="S70" s="62"/>
      <c r="T70" s="143"/>
      <c r="U70" s="13">
        <f>R70+S70-T70</f>
        <v>32</v>
      </c>
      <c r="V70" s="62"/>
      <c r="W70" s="143"/>
      <c r="X70" s="13">
        <f>U70+V70-W70</f>
        <v>32</v>
      </c>
      <c r="Y70" s="62"/>
      <c r="Z70" s="143"/>
      <c r="AA70" s="13">
        <f>X70+Y70-Z70</f>
        <v>32</v>
      </c>
      <c r="AB70" s="62"/>
      <c r="AC70" s="143"/>
      <c r="AD70" s="13">
        <f>AA70+AB70-AC70</f>
        <v>32</v>
      </c>
      <c r="AE70" s="62"/>
      <c r="AF70" s="143"/>
      <c r="AG70" s="13">
        <f>AD70+AE70-AF70</f>
        <v>32</v>
      </c>
      <c r="AH70" s="62"/>
      <c r="AI70" s="143">
        <v>2</v>
      </c>
      <c r="AJ70" s="13">
        <f>AG70+AH70-AI70</f>
        <v>30</v>
      </c>
      <c r="AK70" s="62"/>
      <c r="AL70" s="143"/>
      <c r="AM70" s="13">
        <f>AJ70+AK70-AL70</f>
        <v>30</v>
      </c>
      <c r="AN70" s="62"/>
      <c r="AO70" s="143"/>
      <c r="AP70" s="13">
        <f>AM70+AN70-AO70</f>
        <v>30</v>
      </c>
      <c r="AQ70" s="62"/>
      <c r="AR70" s="143">
        <v>3</v>
      </c>
      <c r="AS70" s="13">
        <f>AP70+AQ70-AR70</f>
        <v>27</v>
      </c>
      <c r="AT70" s="62"/>
      <c r="AU70" s="143"/>
      <c r="AV70" s="13">
        <f>AS70+AT70-AU70</f>
        <v>27</v>
      </c>
      <c r="AW70" s="62"/>
      <c r="AX70" s="143"/>
      <c r="AY70" s="13">
        <f>AV70+AW70-AX70</f>
        <v>27</v>
      </c>
      <c r="AZ70" s="62"/>
      <c r="BA70" s="143"/>
      <c r="BB70" s="13">
        <f>AY70+AZ70-BA70</f>
        <v>27</v>
      </c>
      <c r="BC70" s="62"/>
      <c r="BD70" s="143"/>
      <c r="BE70" s="13">
        <f>BB70+BC70-BD70</f>
        <v>27</v>
      </c>
      <c r="BF70" s="62"/>
      <c r="BG70" s="143"/>
      <c r="BH70" s="13">
        <f>BE70+BF70-BG70</f>
        <v>27</v>
      </c>
      <c r="BI70" s="62"/>
      <c r="BJ70" s="143"/>
      <c r="BK70" s="13">
        <f>BH70+BI70-BJ70</f>
        <v>27</v>
      </c>
      <c r="BL70" s="62"/>
      <c r="BM70" s="143">
        <v>3</v>
      </c>
      <c r="BN70" s="13">
        <f>BK70+BL70-BM70</f>
        <v>24</v>
      </c>
      <c r="BO70" s="62"/>
      <c r="BP70" s="143"/>
      <c r="BQ70" s="13">
        <f>BN70+BO70-BP70</f>
        <v>24</v>
      </c>
      <c r="BR70" s="62"/>
      <c r="BS70" s="143"/>
      <c r="BT70" s="13">
        <f t="shared" si="37"/>
        <v>24</v>
      </c>
      <c r="BU70" s="62"/>
      <c r="BV70" s="143"/>
      <c r="BW70" s="13">
        <f>BT70+BU70-BV70</f>
        <v>24</v>
      </c>
      <c r="BX70" s="62"/>
      <c r="BY70" s="143"/>
      <c r="BZ70" s="13">
        <f t="shared" si="38"/>
        <v>24</v>
      </c>
      <c r="CA70" s="62"/>
      <c r="CB70" s="143"/>
      <c r="CC70" s="13">
        <f t="shared" si="39"/>
        <v>24</v>
      </c>
      <c r="CD70" s="62"/>
      <c r="CE70" s="143"/>
      <c r="CF70" s="13">
        <f t="shared" si="40"/>
        <v>24</v>
      </c>
      <c r="CG70" s="62"/>
      <c r="CH70" s="143">
        <f>2</f>
        <v>2</v>
      </c>
      <c r="CI70" s="13">
        <f t="shared" ref="CI70:CI85" si="46">CF70+CG70-CH70</f>
        <v>22</v>
      </c>
      <c r="CJ70" s="62"/>
      <c r="CK70" s="143"/>
      <c r="CL70" s="13">
        <f t="shared" ref="CL70:CL85" si="47">CI70+CJ70-CK70</f>
        <v>22</v>
      </c>
      <c r="CM70" s="62"/>
      <c r="CN70" s="143"/>
      <c r="CO70" s="13">
        <f t="shared" si="41"/>
        <v>22</v>
      </c>
      <c r="CP70" s="62"/>
      <c r="CQ70" s="143"/>
      <c r="CR70" s="13">
        <f t="shared" ref="CR70:CR85" si="48">CO70+CP70-CQ70</f>
        <v>22</v>
      </c>
      <c r="CS70" s="62"/>
      <c r="CT70" s="143"/>
      <c r="CU70" s="14">
        <f t="shared" si="42"/>
        <v>22</v>
      </c>
      <c r="CV70" s="5">
        <f t="shared" si="43"/>
        <v>0</v>
      </c>
      <c r="CW70" s="4">
        <f t="shared" si="43"/>
        <v>10</v>
      </c>
      <c r="CX70" s="6">
        <f t="shared" si="44"/>
        <v>22</v>
      </c>
      <c r="CY70" s="162">
        <v>152</v>
      </c>
      <c r="CZ70" s="171">
        <f t="shared" si="45"/>
        <v>3344</v>
      </c>
      <c r="DB70" s="2">
        <f t="shared" ref="DB70:DB93" si="49">CU70</f>
        <v>22</v>
      </c>
      <c r="DC70" s="62"/>
      <c r="DD70" s="143"/>
      <c r="DE70" s="149">
        <f t="shared" si="35"/>
        <v>22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11</v>
      </c>
      <c r="G71" s="62"/>
      <c r="H71" s="143"/>
      <c r="I71" s="13">
        <f>F71+G71-H71</f>
        <v>11</v>
      </c>
      <c r="J71" s="62"/>
      <c r="K71" s="143"/>
      <c r="L71" s="13">
        <f>I71+J71-K71</f>
        <v>11</v>
      </c>
      <c r="M71" s="62"/>
      <c r="N71" s="143"/>
      <c r="O71" s="13">
        <f>L71+M71-N71</f>
        <v>11</v>
      </c>
      <c r="P71" s="62"/>
      <c r="Q71" s="143"/>
      <c r="R71" s="13">
        <f>O71+P71-Q71</f>
        <v>11</v>
      </c>
      <c r="S71" s="62"/>
      <c r="T71" s="143"/>
      <c r="U71" s="13">
        <f>R71+S71-T71</f>
        <v>11</v>
      </c>
      <c r="V71" s="62"/>
      <c r="W71" s="143">
        <v>4</v>
      </c>
      <c r="X71" s="13">
        <f>U71+V71-W71</f>
        <v>7</v>
      </c>
      <c r="Y71" s="62"/>
      <c r="Z71" s="143"/>
      <c r="AA71" s="13">
        <f>X71+Y71-Z71</f>
        <v>7</v>
      </c>
      <c r="AB71" s="62"/>
      <c r="AC71" s="143"/>
      <c r="AD71" s="13">
        <f>AA71+AB71-AC71</f>
        <v>7</v>
      </c>
      <c r="AE71" s="62"/>
      <c r="AF71" s="143"/>
      <c r="AG71" s="13">
        <f>AD71+AE71-AF71</f>
        <v>7</v>
      </c>
      <c r="AH71" s="62"/>
      <c r="AI71" s="143">
        <f>1</f>
        <v>1</v>
      </c>
      <c r="AJ71" s="13">
        <f>AG71+AH71-AI71</f>
        <v>6</v>
      </c>
      <c r="AK71" s="62"/>
      <c r="AL71" s="143"/>
      <c r="AM71" s="13">
        <f>AJ71+AK71-AL71</f>
        <v>6</v>
      </c>
      <c r="AN71" s="62"/>
      <c r="AO71" s="143"/>
      <c r="AP71" s="13">
        <f>AM71+AN71-AO71</f>
        <v>6</v>
      </c>
      <c r="AQ71" s="62"/>
      <c r="AR71" s="143"/>
      <c r="AS71" s="13">
        <f>AP71+AQ71-AR71</f>
        <v>6</v>
      </c>
      <c r="AT71" s="62"/>
      <c r="AU71" s="143"/>
      <c r="AV71" s="13">
        <f>AS71+AT71-AU71</f>
        <v>6</v>
      </c>
      <c r="AW71" s="62"/>
      <c r="AX71" s="143"/>
      <c r="AY71" s="13">
        <f>AV71+AW71-AX71</f>
        <v>6</v>
      </c>
      <c r="AZ71" s="62"/>
      <c r="BA71" s="143"/>
      <c r="BB71" s="13">
        <f>AY71+AZ71-BA71</f>
        <v>6</v>
      </c>
      <c r="BC71" s="62"/>
      <c r="BD71" s="143">
        <v>1</v>
      </c>
      <c r="BE71" s="13">
        <f>BB71+BC71-BD71</f>
        <v>5</v>
      </c>
      <c r="BF71" s="62">
        <f>-3</f>
        <v>-3</v>
      </c>
      <c r="BG71" s="143"/>
      <c r="BH71" s="13">
        <f>BE71+BF71-BG71</f>
        <v>2</v>
      </c>
      <c r="BI71" s="62"/>
      <c r="BJ71" s="143"/>
      <c r="BK71" s="13">
        <f>BH71+BI71-BJ71</f>
        <v>2</v>
      </c>
      <c r="BL71" s="62"/>
      <c r="BM71" s="143"/>
      <c r="BN71" s="13">
        <f>BK71+BL71-BM71</f>
        <v>2</v>
      </c>
      <c r="BO71" s="62"/>
      <c r="BP71" s="143"/>
      <c r="BQ71" s="13">
        <f>BN71+BO71-BP71</f>
        <v>2</v>
      </c>
      <c r="BR71" s="62"/>
      <c r="BS71" s="143"/>
      <c r="BT71" s="13">
        <f t="shared" si="37"/>
        <v>2</v>
      </c>
      <c r="BU71" s="62"/>
      <c r="BV71" s="143"/>
      <c r="BW71" s="13">
        <f>BT71+BU71-BV71</f>
        <v>2</v>
      </c>
      <c r="BX71" s="62">
        <v>32</v>
      </c>
      <c r="BY71" s="143">
        <v>1</v>
      </c>
      <c r="BZ71" s="13">
        <f t="shared" si="38"/>
        <v>33</v>
      </c>
      <c r="CA71" s="62"/>
      <c r="CB71" s="143"/>
      <c r="CC71" s="13">
        <f t="shared" si="39"/>
        <v>33</v>
      </c>
      <c r="CD71" s="62"/>
      <c r="CE71" s="143">
        <f>4</f>
        <v>4</v>
      </c>
      <c r="CF71" s="13">
        <f t="shared" si="40"/>
        <v>29</v>
      </c>
      <c r="CG71" s="62"/>
      <c r="CH71" s="143"/>
      <c r="CI71" s="13">
        <f t="shared" si="46"/>
        <v>29</v>
      </c>
      <c r="CJ71" s="62"/>
      <c r="CK71" s="143"/>
      <c r="CL71" s="13">
        <f t="shared" si="47"/>
        <v>29</v>
      </c>
      <c r="CM71" s="62"/>
      <c r="CN71" s="143"/>
      <c r="CO71" s="13">
        <f t="shared" si="41"/>
        <v>29</v>
      </c>
      <c r="CP71" s="62"/>
      <c r="CQ71" s="143"/>
      <c r="CR71" s="13">
        <f t="shared" si="48"/>
        <v>29</v>
      </c>
      <c r="CS71" s="62"/>
      <c r="CT71" s="143"/>
      <c r="CU71" s="14">
        <f t="shared" si="42"/>
        <v>29</v>
      </c>
      <c r="CV71" s="5">
        <f t="shared" si="43"/>
        <v>29</v>
      </c>
      <c r="CW71" s="4">
        <f t="shared" si="43"/>
        <v>11</v>
      </c>
      <c r="CX71" s="6">
        <f t="shared" si="44"/>
        <v>29</v>
      </c>
      <c r="CY71" s="162">
        <v>194</v>
      </c>
      <c r="CZ71" s="171">
        <f t="shared" si="45"/>
        <v>5626</v>
      </c>
      <c r="DB71" s="2">
        <f t="shared" si="49"/>
        <v>29</v>
      </c>
      <c r="DC71" s="62"/>
      <c r="DD71" s="143"/>
      <c r="DE71" s="149">
        <f t="shared" ref="DE71:DE93" si="50">DC71+DB71-DD71</f>
        <v>29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4">
        <v>18</v>
      </c>
      <c r="G72" s="61"/>
      <c r="H72" s="199"/>
      <c r="I72" s="13">
        <f>F72+G72-H72</f>
        <v>18</v>
      </c>
      <c r="J72" s="61"/>
      <c r="K72" s="199"/>
      <c r="L72" s="13">
        <f>I72+J72-K72</f>
        <v>18</v>
      </c>
      <c r="M72" s="61"/>
      <c r="N72" s="199"/>
      <c r="O72" s="13">
        <f>L72+M72-N72</f>
        <v>18</v>
      </c>
      <c r="P72" s="61"/>
      <c r="Q72" s="199"/>
      <c r="R72" s="30">
        <f>O72+P72-Q72</f>
        <v>18</v>
      </c>
      <c r="S72" s="61"/>
      <c r="T72" s="199">
        <v>8</v>
      </c>
      <c r="U72" s="13">
        <f>R72+S72-T72</f>
        <v>10</v>
      </c>
      <c r="V72" s="61"/>
      <c r="W72" s="199"/>
      <c r="X72" s="13">
        <f>U72+V72-W72</f>
        <v>10</v>
      </c>
      <c r="Y72" s="61"/>
      <c r="Z72" s="199">
        <v>8</v>
      </c>
      <c r="AA72" s="13">
        <f>X72+Y72-Z72</f>
        <v>2</v>
      </c>
      <c r="AB72" s="61"/>
      <c r="AC72" s="199"/>
      <c r="AD72" s="13">
        <f>AA72+AB72-AC72</f>
        <v>2</v>
      </c>
      <c r="AE72" s="61"/>
      <c r="AF72" s="199"/>
      <c r="AG72" s="13">
        <f>AD72+AE72-AF72</f>
        <v>2</v>
      </c>
      <c r="AH72" s="61"/>
      <c r="AI72" s="199"/>
      <c r="AJ72" s="13">
        <f>AG72+AH72-AI72</f>
        <v>2</v>
      </c>
      <c r="AK72" s="61"/>
      <c r="AL72" s="199"/>
      <c r="AM72" s="13">
        <f>AJ72+AK72-AL72</f>
        <v>2</v>
      </c>
      <c r="AN72" s="61"/>
      <c r="AO72" s="199"/>
      <c r="AP72" s="13">
        <f>AM72+AN72-AO72</f>
        <v>2</v>
      </c>
      <c r="AQ72" s="61"/>
      <c r="AR72" s="199"/>
      <c r="AS72" s="13">
        <f>AP72+AQ72-AR72</f>
        <v>2</v>
      </c>
      <c r="AT72" s="61"/>
      <c r="AU72" s="199"/>
      <c r="AV72" s="13">
        <f>AS72+AT72-AU72</f>
        <v>2</v>
      </c>
      <c r="AW72" s="61"/>
      <c r="AX72" s="199"/>
      <c r="AY72" s="13">
        <f>AV72+AW72-AX72</f>
        <v>2</v>
      </c>
      <c r="AZ72" s="61"/>
      <c r="BA72" s="199"/>
      <c r="BB72" s="13">
        <f>AY72+AZ72-BA72</f>
        <v>2</v>
      </c>
      <c r="BC72" s="61"/>
      <c r="BD72" s="199"/>
      <c r="BE72" s="13">
        <f>BB72+BC72-BD72</f>
        <v>2</v>
      </c>
      <c r="BF72" s="61">
        <v>-2</v>
      </c>
      <c r="BG72" s="199"/>
      <c r="BH72" s="13">
        <f>BE72+BF72-BG72</f>
        <v>0</v>
      </c>
      <c r="BI72" s="61"/>
      <c r="BJ72" s="199"/>
      <c r="BK72" s="13">
        <f>BH72+BI72-BJ72</f>
        <v>0</v>
      </c>
      <c r="BL72" s="61"/>
      <c r="BM72" s="199"/>
      <c r="BN72" s="13">
        <f>BK72+BL72-BM72</f>
        <v>0</v>
      </c>
      <c r="BO72" s="62"/>
      <c r="BP72" s="199"/>
      <c r="BQ72" s="13">
        <f>BN72+BO72-BP72</f>
        <v>0</v>
      </c>
      <c r="BR72" s="61"/>
      <c r="BS72" s="199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1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-2</v>
      </c>
      <c r="CW72" s="4">
        <f t="shared" si="43"/>
        <v>16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/>
      <c r="K73" s="143"/>
      <c r="L73" s="13">
        <f t="shared" ref="L73:L77" si="52">I73+J73-K73</f>
        <v>0</v>
      </c>
      <c r="M73" s="62"/>
      <c r="N73" s="143"/>
      <c r="O73" s="13">
        <f t="shared" ref="O73:O77" si="53">L73+M73-N73</f>
        <v>0</v>
      </c>
      <c r="P73" s="62"/>
      <c r="Q73" s="143"/>
      <c r="R73" s="30">
        <f t="shared" ref="R73:R77" si="54">O73+P73-Q73</f>
        <v>0</v>
      </c>
      <c r="S73" s="62"/>
      <c r="T73" s="143"/>
      <c r="U73" s="13">
        <f t="shared" ref="U73:U76" si="55">R73+S73-T73</f>
        <v>0</v>
      </c>
      <c r="V73" s="62"/>
      <c r="W73" s="143"/>
      <c r="X73" s="13">
        <f t="shared" ref="X73:X77" si="56">U73+V73-W73</f>
        <v>0</v>
      </c>
      <c r="Y73" s="62"/>
      <c r="Z73" s="143"/>
      <c r="AA73" s="13">
        <f t="shared" ref="AA73:AA93" si="57">X73+Y73-Z73</f>
        <v>0</v>
      </c>
      <c r="AB73" s="62"/>
      <c r="AC73" s="143"/>
      <c r="AD73" s="13">
        <f t="shared" ref="AD73:AD77" si="58">AA73+AB73-AC73</f>
        <v>0</v>
      </c>
      <c r="AE73" s="62"/>
      <c r="AF73" s="143"/>
      <c r="AG73" s="13">
        <f t="shared" ref="AG73:AG77" si="59">AD73+AE73-AF73</f>
        <v>0</v>
      </c>
      <c r="AH73" s="62"/>
      <c r="AI73" s="143"/>
      <c r="AJ73" s="13">
        <f t="shared" ref="AJ73:AJ77" si="60">AG73+AH73-AI73</f>
        <v>0</v>
      </c>
      <c r="AK73" s="62"/>
      <c r="AL73" s="143"/>
      <c r="AM73" s="13">
        <f t="shared" ref="AM73:AM77" si="61">AJ73+AK73-AL73</f>
        <v>0</v>
      </c>
      <c r="AN73" s="62"/>
      <c r="AO73" s="143"/>
      <c r="AP73" s="13">
        <f t="shared" ref="AP73:AP77" si="62">AM73+AN73-AO73</f>
        <v>0</v>
      </c>
      <c r="AQ73" s="62"/>
      <c r="AR73" s="143"/>
      <c r="AS73" s="13">
        <f t="shared" ref="AS73:AS77" si="63">AP73+AQ73-AR73</f>
        <v>0</v>
      </c>
      <c r="AT73" s="62"/>
      <c r="AU73" s="143"/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2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62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62"/>
      <c r="CB73" s="143"/>
      <c r="CC73" s="13">
        <f t="shared" si="39"/>
        <v>0</v>
      </c>
      <c r="CD73" s="62"/>
      <c r="CE73" s="143"/>
      <c r="CF73" s="13">
        <f t="shared" si="40"/>
        <v>0</v>
      </c>
      <c r="CG73" s="62"/>
      <c r="CH73" s="143"/>
      <c r="CI73" s="13">
        <f t="shared" si="46"/>
        <v>0</v>
      </c>
      <c r="CJ73" s="62"/>
      <c r="CK73" s="143"/>
      <c r="CL73" s="13">
        <f t="shared" si="47"/>
        <v>0</v>
      </c>
      <c r="CM73" s="62"/>
      <c r="CN73" s="143"/>
      <c r="CO73" s="13">
        <f t="shared" si="41"/>
        <v>0</v>
      </c>
      <c r="CP73" s="62"/>
      <c r="CQ73" s="143"/>
      <c r="CR73" s="13">
        <f t="shared" si="48"/>
        <v>0</v>
      </c>
      <c r="CS73" s="62"/>
      <c r="CT73" s="143"/>
      <c r="CU73" s="14">
        <f t="shared" si="42"/>
        <v>0</v>
      </c>
      <c r="CV73" s="5">
        <f t="shared" si="43"/>
        <v>0</v>
      </c>
      <c r="CW73" s="4">
        <f t="shared" si="43"/>
        <v>0</v>
      </c>
      <c r="CX73" s="6">
        <f t="shared" si="44"/>
        <v>0</v>
      </c>
      <c r="CY73" s="162">
        <v>0</v>
      </c>
      <c r="CZ73" s="171">
        <f t="shared" si="45"/>
        <v>0</v>
      </c>
      <c r="DB73" s="2">
        <f t="shared" si="49"/>
        <v>0</v>
      </c>
      <c r="DC73" s="62"/>
      <c r="DD73" s="143"/>
      <c r="DE73" s="149">
        <f t="shared" si="50"/>
        <v>0</v>
      </c>
    </row>
    <row r="74" spans="1:109" ht="15.75" customHeight="1">
      <c r="A74" s="33"/>
      <c r="B74" s="3" t="s">
        <v>301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>
        <v>9</v>
      </c>
      <c r="AI74" s="143"/>
      <c r="AJ74" s="13">
        <f t="shared" si="60"/>
        <v>9</v>
      </c>
      <c r="AK74" s="62"/>
      <c r="AL74" s="143"/>
      <c r="AM74" s="13">
        <f t="shared" si="61"/>
        <v>9</v>
      </c>
      <c r="AN74" s="62"/>
      <c r="AO74" s="143">
        <v>6</v>
      </c>
      <c r="AP74" s="13">
        <f t="shared" si="62"/>
        <v>3</v>
      </c>
      <c r="AQ74" s="62"/>
      <c r="AR74" s="143"/>
      <c r="AS74" s="13">
        <f t="shared" si="63"/>
        <v>3</v>
      </c>
      <c r="AT74" s="62"/>
      <c r="AU74" s="143"/>
      <c r="AV74" s="13">
        <f t="shared" si="64"/>
        <v>3</v>
      </c>
      <c r="AW74" s="62"/>
      <c r="AX74" s="143"/>
      <c r="AY74" s="13">
        <f t="shared" si="65"/>
        <v>3</v>
      </c>
      <c r="AZ74" s="62"/>
      <c r="BA74" s="143"/>
      <c r="BB74" s="13">
        <f t="shared" si="66"/>
        <v>3</v>
      </c>
      <c r="BC74" s="62"/>
      <c r="BD74" s="143">
        <v>3</v>
      </c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>
        <v>10</v>
      </c>
      <c r="BP74" s="143"/>
      <c r="BQ74" s="13">
        <f t="shared" si="71"/>
        <v>10</v>
      </c>
      <c r="BR74" s="62"/>
      <c r="BS74" s="143"/>
      <c r="BT74" s="13">
        <f t="shared" si="37"/>
        <v>10</v>
      </c>
      <c r="BU74" s="62"/>
      <c r="BV74" s="143">
        <v>5</v>
      </c>
      <c r="BW74" s="13">
        <f t="shared" si="72"/>
        <v>5</v>
      </c>
      <c r="BX74" s="62"/>
      <c r="BY74" s="143"/>
      <c r="BZ74" s="13">
        <f t="shared" si="38"/>
        <v>5</v>
      </c>
      <c r="CA74" s="62"/>
      <c r="CB74" s="143">
        <v>4</v>
      </c>
      <c r="CC74" s="13">
        <f t="shared" si="39"/>
        <v>1</v>
      </c>
      <c r="CD74" s="62"/>
      <c r="CE74" s="143"/>
      <c r="CF74" s="13">
        <f t="shared" si="40"/>
        <v>1</v>
      </c>
      <c r="CG74" s="62"/>
      <c r="CH74" s="143"/>
      <c r="CI74" s="13">
        <f t="shared" si="46"/>
        <v>1</v>
      </c>
      <c r="CJ74" s="62"/>
      <c r="CK74" s="143"/>
      <c r="CL74" s="13">
        <f t="shared" si="47"/>
        <v>1</v>
      </c>
      <c r="CM74" s="62"/>
      <c r="CN74" s="143"/>
      <c r="CO74" s="13">
        <f t="shared" si="41"/>
        <v>1</v>
      </c>
      <c r="CP74" s="62">
        <v>1</v>
      </c>
      <c r="CQ74" s="143"/>
      <c r="CR74" s="13">
        <f t="shared" si="48"/>
        <v>2</v>
      </c>
      <c r="CS74" s="62"/>
      <c r="CT74" s="143"/>
      <c r="CU74" s="14">
        <f t="shared" si="42"/>
        <v>2</v>
      </c>
      <c r="CV74" s="5">
        <f t="shared" si="43"/>
        <v>20</v>
      </c>
      <c r="CW74" s="4">
        <f t="shared" si="43"/>
        <v>18</v>
      </c>
      <c r="CX74" s="6">
        <f t="shared" si="44"/>
        <v>2</v>
      </c>
      <c r="CY74" s="162">
        <v>740</v>
      </c>
      <c r="CZ74" s="171">
        <f t="shared" si="45"/>
        <v>1480</v>
      </c>
      <c r="DB74" s="2">
        <f t="shared" si="49"/>
        <v>2</v>
      </c>
      <c r="DC74" s="62"/>
      <c r="DD74" s="143"/>
      <c r="DE74" s="149">
        <f t="shared" si="50"/>
        <v>2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2</v>
      </c>
      <c r="G75" s="62"/>
      <c r="H75" s="143"/>
      <c r="I75" s="13">
        <f t="shared" si="51"/>
        <v>2</v>
      </c>
      <c r="J75" s="62">
        <f>-19-10+36</f>
        <v>7</v>
      </c>
      <c r="K75" s="143">
        <v>2</v>
      </c>
      <c r="L75" s="13">
        <f>I75+J75-K75</f>
        <v>7</v>
      </c>
      <c r="M75" s="62">
        <f>-38+46</f>
        <v>8</v>
      </c>
      <c r="N75" s="143">
        <f>4+3</f>
        <v>7</v>
      </c>
      <c r="O75" s="13">
        <f t="shared" si="53"/>
        <v>8</v>
      </c>
      <c r="P75" s="62"/>
      <c r="Q75" s="143"/>
      <c r="R75" s="30">
        <f t="shared" si="54"/>
        <v>8</v>
      </c>
      <c r="S75" s="62">
        <f>-11+18</f>
        <v>7</v>
      </c>
      <c r="T75" s="143">
        <f>2+6</f>
        <v>8</v>
      </c>
      <c r="U75" s="13">
        <f t="shared" si="55"/>
        <v>7</v>
      </c>
      <c r="V75" s="62">
        <f>-10+25</f>
        <v>15</v>
      </c>
      <c r="W75" s="143">
        <v>7</v>
      </c>
      <c r="X75" s="13">
        <f t="shared" si="56"/>
        <v>15</v>
      </c>
      <c r="Y75" s="62">
        <f>-41+48</f>
        <v>7</v>
      </c>
      <c r="Z75" s="143">
        <f>6+9</f>
        <v>15</v>
      </c>
      <c r="AA75" s="13">
        <f t="shared" si="57"/>
        <v>7</v>
      </c>
      <c r="AB75" s="62"/>
      <c r="AC75" s="143"/>
      <c r="AD75" s="13">
        <f t="shared" si="58"/>
        <v>7</v>
      </c>
      <c r="AE75" s="62">
        <f>-18+30</f>
        <v>12</v>
      </c>
      <c r="AF75" s="143">
        <f>2+5</f>
        <v>7</v>
      </c>
      <c r="AG75" s="13">
        <f t="shared" si="59"/>
        <v>12</v>
      </c>
      <c r="AH75" s="62">
        <f>-23+30</f>
        <v>7</v>
      </c>
      <c r="AI75" s="143">
        <f>4+8</f>
        <v>12</v>
      </c>
      <c r="AJ75" s="13">
        <f t="shared" si="60"/>
        <v>7</v>
      </c>
      <c r="AK75" s="62"/>
      <c r="AL75" s="143"/>
      <c r="AM75" s="13">
        <f t="shared" si="61"/>
        <v>7</v>
      </c>
      <c r="AN75" s="62">
        <f>-14+22</f>
        <v>8</v>
      </c>
      <c r="AO75" s="143">
        <f>2+1+4</f>
        <v>7</v>
      </c>
      <c r="AP75" s="13">
        <f t="shared" si="62"/>
        <v>8</v>
      </c>
      <c r="AQ75" s="62">
        <f>-15+24</f>
        <v>9</v>
      </c>
      <c r="AR75" s="143">
        <f>2+6</f>
        <v>8</v>
      </c>
      <c r="AS75" s="13">
        <f t="shared" si="63"/>
        <v>9</v>
      </c>
      <c r="AT75" s="62">
        <f>-40+50</f>
        <v>10</v>
      </c>
      <c r="AU75" s="143">
        <v>9</v>
      </c>
      <c r="AV75" s="13">
        <f t="shared" si="64"/>
        <v>10</v>
      </c>
      <c r="AW75" s="62"/>
      <c r="AX75" s="143"/>
      <c r="AY75" s="13">
        <f t="shared" si="65"/>
        <v>10</v>
      </c>
      <c r="AZ75" s="62">
        <f>-27+36</f>
        <v>9</v>
      </c>
      <c r="BA75" s="143">
        <f>4+6</f>
        <v>10</v>
      </c>
      <c r="BB75" s="13">
        <f t="shared" si="66"/>
        <v>9</v>
      </c>
      <c r="BC75" s="62">
        <f>-36+48</f>
        <v>12</v>
      </c>
      <c r="BD75" s="143">
        <f>3+6</f>
        <v>9</v>
      </c>
      <c r="BE75" s="13">
        <f t="shared" si="67"/>
        <v>12</v>
      </c>
      <c r="BF75" s="62"/>
      <c r="BG75" s="143"/>
      <c r="BH75" s="13">
        <f t="shared" si="68"/>
        <v>12</v>
      </c>
      <c r="BI75" s="62">
        <f>-15+24</f>
        <v>9</v>
      </c>
      <c r="BJ75" s="143">
        <f>5+6+1</f>
        <v>12</v>
      </c>
      <c r="BK75" s="13">
        <f t="shared" si="69"/>
        <v>9</v>
      </c>
      <c r="BL75" s="62">
        <f>-15+30</f>
        <v>15</v>
      </c>
      <c r="BM75" s="143">
        <f>4+5</f>
        <v>9</v>
      </c>
      <c r="BN75" s="13">
        <f t="shared" si="70"/>
        <v>15</v>
      </c>
      <c r="BO75" s="62">
        <f>-16-20+50</f>
        <v>14</v>
      </c>
      <c r="BP75" s="143">
        <f>3+12</f>
        <v>15</v>
      </c>
      <c r="BQ75" s="13">
        <f t="shared" si="71"/>
        <v>14</v>
      </c>
      <c r="BR75" s="62"/>
      <c r="BS75" s="143"/>
      <c r="BT75" s="13">
        <f t="shared" si="37"/>
        <v>14</v>
      </c>
      <c r="BU75" s="62">
        <f>-20-4+32</f>
        <v>8</v>
      </c>
      <c r="BV75" s="143">
        <f>6+8</f>
        <v>14</v>
      </c>
      <c r="BW75" s="13">
        <f t="shared" si="72"/>
        <v>8</v>
      </c>
      <c r="BX75" s="62">
        <f>-35+48</f>
        <v>13</v>
      </c>
      <c r="BY75" s="143">
        <v>8</v>
      </c>
      <c r="BZ75" s="13">
        <f t="shared" si="38"/>
        <v>13</v>
      </c>
      <c r="CA75" s="62"/>
      <c r="CB75" s="143"/>
      <c r="CC75" s="13">
        <f t="shared" si="39"/>
        <v>13</v>
      </c>
      <c r="CD75" s="62">
        <f>-10+20</f>
        <v>10</v>
      </c>
      <c r="CE75" s="143">
        <f>4+9</f>
        <v>13</v>
      </c>
      <c r="CF75" s="13">
        <f t="shared" si="40"/>
        <v>10</v>
      </c>
      <c r="CG75" s="62">
        <f>-5+18</f>
        <v>13</v>
      </c>
      <c r="CH75" s="143">
        <f>3+7</f>
        <v>10</v>
      </c>
      <c r="CI75" s="13">
        <f t="shared" si="46"/>
        <v>13</v>
      </c>
      <c r="CJ75" s="62">
        <f>-42+52</f>
        <v>10</v>
      </c>
      <c r="CK75" s="143">
        <f>2+9+2</f>
        <v>13</v>
      </c>
      <c r="CL75" s="13">
        <f t="shared" si="47"/>
        <v>10</v>
      </c>
      <c r="CM75" s="62"/>
      <c r="CN75" s="143"/>
      <c r="CO75" s="13">
        <f t="shared" si="41"/>
        <v>10</v>
      </c>
      <c r="CP75" s="62">
        <f>-17+20</f>
        <v>3</v>
      </c>
      <c r="CQ75" s="143">
        <f>4+5+1</f>
        <v>10</v>
      </c>
      <c r="CR75" s="13">
        <f t="shared" si="48"/>
        <v>3</v>
      </c>
      <c r="CS75" s="62"/>
      <c r="CT75" s="143"/>
      <c r="CU75" s="14">
        <f t="shared" si="42"/>
        <v>3</v>
      </c>
      <c r="CV75" s="5">
        <f t="shared" si="43"/>
        <v>206</v>
      </c>
      <c r="CW75" s="4">
        <f t="shared" si="43"/>
        <v>205</v>
      </c>
      <c r="CX75" s="6">
        <f t="shared" si="44"/>
        <v>3</v>
      </c>
      <c r="CY75" s="162">
        <v>650</v>
      </c>
      <c r="CZ75" s="171">
        <f t="shared" si="45"/>
        <v>1950</v>
      </c>
      <c r="DB75" s="2">
        <f t="shared" si="49"/>
        <v>3</v>
      </c>
      <c r="DC75" s="62"/>
      <c r="DD75" s="143"/>
      <c r="DE75" s="149">
        <f t="shared" si="50"/>
        <v>3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0</v>
      </c>
      <c r="G76" s="62"/>
      <c r="H76" s="143"/>
      <c r="I76" s="13">
        <f t="shared" si="51"/>
        <v>0</v>
      </c>
      <c r="J76" s="62"/>
      <c r="K76" s="143"/>
      <c r="L76" s="13">
        <f t="shared" si="52"/>
        <v>0</v>
      </c>
      <c r="M76" s="62"/>
      <c r="N76" s="143"/>
      <c r="O76" s="13">
        <f t="shared" si="53"/>
        <v>0</v>
      </c>
      <c r="P76" s="62"/>
      <c r="Q76" s="143"/>
      <c r="R76" s="30">
        <f t="shared" si="54"/>
        <v>0</v>
      </c>
      <c r="S76" s="62"/>
      <c r="T76" s="143"/>
      <c r="U76" s="13">
        <f t="shared" si="55"/>
        <v>0</v>
      </c>
      <c r="V76" s="62"/>
      <c r="W76" s="143"/>
      <c r="X76" s="13">
        <f t="shared" si="56"/>
        <v>0</v>
      </c>
      <c r="Y76" s="62"/>
      <c r="Z76" s="143"/>
      <c r="AA76" s="13">
        <f t="shared" si="57"/>
        <v>0</v>
      </c>
      <c r="AB76" s="62"/>
      <c r="AC76" s="143"/>
      <c r="AD76" s="13">
        <f t="shared" si="58"/>
        <v>0</v>
      </c>
      <c r="AE76" s="62"/>
      <c r="AF76" s="143"/>
      <c r="AG76" s="13">
        <f t="shared" si="59"/>
        <v>0</v>
      </c>
      <c r="AH76" s="62"/>
      <c r="AI76" s="143"/>
      <c r="AJ76" s="13">
        <f t="shared" si="60"/>
        <v>0</v>
      </c>
      <c r="AK76" s="62"/>
      <c r="AL76" s="143"/>
      <c r="AM76" s="13">
        <f t="shared" si="61"/>
        <v>0</v>
      </c>
      <c r="AN76" s="62"/>
      <c r="AO76" s="143"/>
      <c r="AP76" s="13">
        <f t="shared" si="62"/>
        <v>0</v>
      </c>
      <c r="AQ76" s="62"/>
      <c r="AR76" s="143"/>
      <c r="AS76" s="13">
        <f t="shared" si="63"/>
        <v>0</v>
      </c>
      <c r="AT76" s="62"/>
      <c r="AU76" s="143"/>
      <c r="AV76" s="13">
        <f t="shared" si="64"/>
        <v>0</v>
      </c>
      <c r="AW76" s="62"/>
      <c r="AX76" s="143"/>
      <c r="AY76" s="13">
        <f t="shared" si="65"/>
        <v>0</v>
      </c>
      <c r="AZ76" s="62"/>
      <c r="BA76" s="143"/>
      <c r="BB76" s="13">
        <f t="shared" si="66"/>
        <v>0</v>
      </c>
      <c r="BC76" s="62"/>
      <c r="BD76" s="143"/>
      <c r="BE76" s="13">
        <f t="shared" si="67"/>
        <v>0</v>
      </c>
      <c r="BF76" s="62"/>
      <c r="BG76" s="143"/>
      <c r="BH76" s="13">
        <f t="shared" si="68"/>
        <v>0</v>
      </c>
      <c r="BI76" s="62"/>
      <c r="BJ76" s="143"/>
      <c r="BK76" s="13">
        <f t="shared" si="69"/>
        <v>0</v>
      </c>
      <c r="BL76" s="62"/>
      <c r="BM76" s="143"/>
      <c r="BN76" s="13">
        <f t="shared" si="70"/>
        <v>0</v>
      </c>
      <c r="BO76" s="62"/>
      <c r="BP76" s="143"/>
      <c r="BQ76" s="13">
        <f t="shared" si="71"/>
        <v>0</v>
      </c>
      <c r="BR76" s="62"/>
      <c r="BS76" s="143"/>
      <c r="BT76" s="13">
        <f t="shared" si="37"/>
        <v>0</v>
      </c>
      <c r="BU76" s="62"/>
      <c r="BV76" s="143"/>
      <c r="BW76" s="13">
        <f t="shared" si="72"/>
        <v>0</v>
      </c>
      <c r="BX76" s="62"/>
      <c r="BY76" s="143"/>
      <c r="BZ76" s="13">
        <f t="shared" si="38"/>
        <v>0</v>
      </c>
      <c r="CA76" s="62"/>
      <c r="CB76" s="143"/>
      <c r="CC76" s="13">
        <f t="shared" si="39"/>
        <v>0</v>
      </c>
      <c r="CD76" s="62"/>
      <c r="CE76" s="143"/>
      <c r="CF76" s="13">
        <f t="shared" si="40"/>
        <v>0</v>
      </c>
      <c r="CG76" s="62"/>
      <c r="CH76" s="143"/>
      <c r="CI76" s="13">
        <f t="shared" si="46"/>
        <v>0</v>
      </c>
      <c r="CJ76" s="62"/>
      <c r="CK76" s="143"/>
      <c r="CL76" s="13">
        <f t="shared" si="47"/>
        <v>0</v>
      </c>
      <c r="CM76" s="62"/>
      <c r="CN76" s="143"/>
      <c r="CO76" s="13">
        <f t="shared" si="41"/>
        <v>0</v>
      </c>
      <c r="CP76" s="62"/>
      <c r="CQ76" s="143"/>
      <c r="CR76" s="13">
        <f t="shared" si="48"/>
        <v>0</v>
      </c>
      <c r="CS76" s="62"/>
      <c r="CT76" s="143"/>
      <c r="CU76" s="14">
        <f t="shared" si="42"/>
        <v>0</v>
      </c>
      <c r="CV76" s="5">
        <f t="shared" si="43"/>
        <v>0</v>
      </c>
      <c r="CW76" s="4">
        <f t="shared" si="43"/>
        <v>0</v>
      </c>
      <c r="CX76" s="6">
        <f t="shared" si="44"/>
        <v>0</v>
      </c>
      <c r="CY76" s="162">
        <v>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24</v>
      </c>
      <c r="G77" s="62"/>
      <c r="H77" s="143"/>
      <c r="I77" s="13">
        <f>F77+G77-H77</f>
        <v>24</v>
      </c>
      <c r="J77" s="62">
        <v>36</v>
      </c>
      <c r="K77" s="143">
        <f>9+6+11</f>
        <v>26</v>
      </c>
      <c r="L77" s="13">
        <f t="shared" si="52"/>
        <v>34</v>
      </c>
      <c r="M77" s="62"/>
      <c r="N77" s="143">
        <f>9+6+1</f>
        <v>16</v>
      </c>
      <c r="O77" s="13">
        <f t="shared" si="53"/>
        <v>18</v>
      </c>
      <c r="P77" s="62">
        <v>36</v>
      </c>
      <c r="Q77" s="143">
        <f>9+1+16</f>
        <v>26</v>
      </c>
      <c r="R77" s="30">
        <f t="shared" si="54"/>
        <v>28</v>
      </c>
      <c r="S77" s="62"/>
      <c r="T77" s="143">
        <f>9+6</f>
        <v>15</v>
      </c>
      <c r="U77" s="13">
        <f>R77+S77-T77</f>
        <v>13</v>
      </c>
      <c r="V77" s="62"/>
      <c r="W77" s="143">
        <f>1+1</f>
        <v>2</v>
      </c>
      <c r="X77" s="13">
        <f t="shared" si="56"/>
        <v>11</v>
      </c>
      <c r="Y77" s="62">
        <v>36</v>
      </c>
      <c r="Z77" s="143">
        <f>1+6+15+1</f>
        <v>23</v>
      </c>
      <c r="AA77" s="13">
        <f t="shared" si="57"/>
        <v>24</v>
      </c>
      <c r="AB77" s="62"/>
      <c r="AC77" s="143"/>
      <c r="AD77" s="13">
        <f t="shared" si="58"/>
        <v>24</v>
      </c>
      <c r="AE77" s="62"/>
      <c r="AF77" s="143">
        <v>6</v>
      </c>
      <c r="AG77" s="13">
        <f t="shared" si="59"/>
        <v>18</v>
      </c>
      <c r="AH77" s="62"/>
      <c r="AI77" s="143">
        <f>11+7+1</f>
        <v>19</v>
      </c>
      <c r="AJ77" s="13">
        <f t="shared" si="60"/>
        <v>-1</v>
      </c>
      <c r="AK77" s="62">
        <v>36</v>
      </c>
      <c r="AL77" s="143">
        <f>9+1+15</f>
        <v>25</v>
      </c>
      <c r="AM77" s="13">
        <f t="shared" si="61"/>
        <v>10</v>
      </c>
      <c r="AN77" s="62"/>
      <c r="AO77" s="143">
        <f>9+6</f>
        <v>15</v>
      </c>
      <c r="AP77" s="13">
        <f t="shared" si="62"/>
        <v>-5</v>
      </c>
      <c r="AQ77" s="62">
        <v>36</v>
      </c>
      <c r="AR77" s="143">
        <f>1+1</f>
        <v>2</v>
      </c>
      <c r="AS77" s="13">
        <f t="shared" si="63"/>
        <v>29</v>
      </c>
      <c r="AT77" s="62"/>
      <c r="AU77" s="143">
        <f>6</f>
        <v>6</v>
      </c>
      <c r="AV77" s="13">
        <f t="shared" si="64"/>
        <v>23</v>
      </c>
      <c r="AW77" s="62"/>
      <c r="AX77" s="143"/>
      <c r="AY77" s="13">
        <f t="shared" si="65"/>
        <v>23</v>
      </c>
      <c r="AZ77" s="62">
        <v>36</v>
      </c>
      <c r="BA77" s="143">
        <f>9+6+12</f>
        <v>27</v>
      </c>
      <c r="BB77" s="13">
        <f t="shared" si="66"/>
        <v>32</v>
      </c>
      <c r="BC77" s="62"/>
      <c r="BD77" s="143">
        <f>9+4+1+1</f>
        <v>15</v>
      </c>
      <c r="BE77" s="13">
        <f t="shared" si="67"/>
        <v>17</v>
      </c>
      <c r="BF77" s="62">
        <v>48</v>
      </c>
      <c r="BG77" s="143">
        <f>9+6+22</f>
        <v>37</v>
      </c>
      <c r="BH77" s="13">
        <f t="shared" si="68"/>
        <v>28</v>
      </c>
      <c r="BI77" s="62"/>
      <c r="BJ77" s="143">
        <f>2+9+1</f>
        <v>12</v>
      </c>
      <c r="BK77" s="13">
        <f t="shared" si="69"/>
        <v>16</v>
      </c>
      <c r="BL77" s="62"/>
      <c r="BM77" s="143">
        <f>9+1+1+1</f>
        <v>12</v>
      </c>
      <c r="BN77" s="13">
        <f t="shared" si="70"/>
        <v>4</v>
      </c>
      <c r="BO77" s="62">
        <v>36</v>
      </c>
      <c r="BP77" s="143">
        <f>6+1</f>
        <v>7</v>
      </c>
      <c r="BQ77" s="13">
        <f t="shared" si="71"/>
        <v>33</v>
      </c>
      <c r="BR77" s="62"/>
      <c r="BS77" s="143"/>
      <c r="BT77" s="13">
        <f t="shared" si="37"/>
        <v>33</v>
      </c>
      <c r="BU77" s="62"/>
      <c r="BV77" s="143">
        <f>7+6+6+1</f>
        <v>20</v>
      </c>
      <c r="BW77" s="13">
        <f t="shared" si="72"/>
        <v>13</v>
      </c>
      <c r="BX77" s="62">
        <v>36</v>
      </c>
      <c r="BY77" s="143">
        <f>2+11+6+1</f>
        <v>20</v>
      </c>
      <c r="BZ77" s="13">
        <f t="shared" si="38"/>
        <v>29</v>
      </c>
      <c r="CA77" s="62">
        <v>36</v>
      </c>
      <c r="CB77" s="143">
        <f>9+6+15+9+1</f>
        <v>40</v>
      </c>
      <c r="CC77" s="13">
        <f t="shared" si="39"/>
        <v>25</v>
      </c>
      <c r="CD77" s="62"/>
      <c r="CE77" s="143">
        <f>1</f>
        <v>1</v>
      </c>
      <c r="CF77" s="13">
        <f t="shared" si="40"/>
        <v>24</v>
      </c>
      <c r="CG77" s="62">
        <v>36</v>
      </c>
      <c r="CH77" s="143">
        <f>9+1+1</f>
        <v>11</v>
      </c>
      <c r="CI77" s="13">
        <f t="shared" si="46"/>
        <v>49</v>
      </c>
      <c r="CJ77" s="62"/>
      <c r="CK77" s="143">
        <f>1+6+1</f>
        <v>8</v>
      </c>
      <c r="CL77" s="13">
        <f t="shared" si="47"/>
        <v>41</v>
      </c>
      <c r="CM77" s="62"/>
      <c r="CN77" s="143"/>
      <c r="CO77" s="13">
        <f t="shared" si="41"/>
        <v>41</v>
      </c>
      <c r="CP77" s="62"/>
      <c r="CQ77" s="143">
        <f>3+6+2+1</f>
        <v>12</v>
      </c>
      <c r="CR77" s="13">
        <f t="shared" si="48"/>
        <v>29</v>
      </c>
      <c r="CS77" s="62"/>
      <c r="CT77" s="143"/>
      <c r="CU77" s="14">
        <f t="shared" si="42"/>
        <v>29</v>
      </c>
      <c r="CV77" s="5">
        <f t="shared" si="43"/>
        <v>408</v>
      </c>
      <c r="CW77" s="4">
        <f t="shared" si="43"/>
        <v>403</v>
      </c>
      <c r="CX77" s="6">
        <f t="shared" si="44"/>
        <v>29</v>
      </c>
      <c r="CY77" s="162">
        <v>195</v>
      </c>
      <c r="CZ77" s="171">
        <f t="shared" si="45"/>
        <v>5655</v>
      </c>
      <c r="DB77" s="2">
        <f t="shared" si="49"/>
        <v>29</v>
      </c>
      <c r="DC77" s="62"/>
      <c r="DD77" s="143"/>
      <c r="DE77" s="149">
        <f t="shared" si="50"/>
        <v>29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3050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5</v>
      </c>
      <c r="G80" s="62"/>
      <c r="H80" s="143"/>
      <c r="I80" s="13">
        <f t="shared" si="73"/>
        <v>5</v>
      </c>
      <c r="J80" s="62"/>
      <c r="K80" s="143"/>
      <c r="L80" s="13">
        <f t="shared" si="74"/>
        <v>5</v>
      </c>
      <c r="M80" s="62">
        <v>12</v>
      </c>
      <c r="N80" s="143"/>
      <c r="O80" s="13">
        <f t="shared" si="75"/>
        <v>17</v>
      </c>
      <c r="P80" s="62"/>
      <c r="Q80" s="143"/>
      <c r="R80" s="30">
        <f t="shared" si="76"/>
        <v>17</v>
      </c>
      <c r="S80" s="62"/>
      <c r="T80" s="143">
        <f>3+3</f>
        <v>6</v>
      </c>
      <c r="U80" s="13">
        <f t="shared" si="77"/>
        <v>11</v>
      </c>
      <c r="V80" s="62"/>
      <c r="W80" s="143">
        <v>3</v>
      </c>
      <c r="X80" s="30">
        <f t="shared" si="78"/>
        <v>8</v>
      </c>
      <c r="Y80" s="62"/>
      <c r="Z80" s="143"/>
      <c r="AA80" s="13">
        <f t="shared" si="79"/>
        <v>8</v>
      </c>
      <c r="AB80" s="62"/>
      <c r="AC80" s="143"/>
      <c r="AD80" s="13">
        <f t="shared" si="80"/>
        <v>8</v>
      </c>
      <c r="AE80" s="62"/>
      <c r="AF80" s="143"/>
      <c r="AG80" s="13">
        <f t="shared" si="81"/>
        <v>8</v>
      </c>
      <c r="AH80" s="62">
        <v>12</v>
      </c>
      <c r="AI80" s="143"/>
      <c r="AJ80" s="13">
        <f t="shared" si="82"/>
        <v>20</v>
      </c>
      <c r="AK80" s="62"/>
      <c r="AL80" s="143"/>
      <c r="AM80" s="13">
        <f t="shared" si="83"/>
        <v>20</v>
      </c>
      <c r="AN80" s="62"/>
      <c r="AO80" s="143">
        <f>3+3</f>
        <v>6</v>
      </c>
      <c r="AP80" s="13">
        <f t="shared" si="84"/>
        <v>14</v>
      </c>
      <c r="AQ80" s="62"/>
      <c r="AR80" s="143">
        <f>4+2</f>
        <v>6</v>
      </c>
      <c r="AS80" s="13">
        <f t="shared" si="85"/>
        <v>8</v>
      </c>
      <c r="AT80" s="62"/>
      <c r="AU80" s="143"/>
      <c r="AV80" s="13">
        <f t="shared" si="86"/>
        <v>8</v>
      </c>
      <c r="AW80" s="62"/>
      <c r="AX80" s="143"/>
      <c r="AY80" s="13">
        <f t="shared" si="87"/>
        <v>8</v>
      </c>
      <c r="AZ80" s="62"/>
      <c r="BA80" s="143"/>
      <c r="BB80" s="13">
        <f t="shared" si="88"/>
        <v>8</v>
      </c>
      <c r="BC80" s="62"/>
      <c r="BD80" s="143"/>
      <c r="BE80" s="13">
        <f t="shared" si="89"/>
        <v>8</v>
      </c>
      <c r="BF80" s="62"/>
      <c r="BG80" s="143"/>
      <c r="BH80" s="13">
        <f t="shared" si="90"/>
        <v>8</v>
      </c>
      <c r="BI80" s="62">
        <v>12</v>
      </c>
      <c r="BJ80" s="143">
        <v>3</v>
      </c>
      <c r="BK80" s="13">
        <f t="shared" si="91"/>
        <v>17</v>
      </c>
      <c r="BL80" s="62"/>
      <c r="BM80" s="143">
        <f>3+4+3</f>
        <v>10</v>
      </c>
      <c r="BN80" s="13">
        <f t="shared" si="92"/>
        <v>7</v>
      </c>
      <c r="BO80" s="62"/>
      <c r="BP80" s="143"/>
      <c r="BQ80" s="13">
        <f t="shared" si="93"/>
        <v>7</v>
      </c>
      <c r="BR80" s="62"/>
      <c r="BS80" s="143"/>
      <c r="BT80" s="13">
        <f t="shared" si="37"/>
        <v>7</v>
      </c>
      <c r="BU80" s="62"/>
      <c r="BV80" s="143"/>
      <c r="BW80" s="13">
        <f t="shared" si="94"/>
        <v>7</v>
      </c>
      <c r="BX80" s="62"/>
      <c r="BY80" s="143"/>
      <c r="BZ80" s="13">
        <f t="shared" si="38"/>
        <v>7</v>
      </c>
      <c r="CA80" s="62"/>
      <c r="CB80" s="143"/>
      <c r="CC80" s="13">
        <f t="shared" si="39"/>
        <v>7</v>
      </c>
      <c r="CD80" s="62">
        <v>12</v>
      </c>
      <c r="CE80" s="143">
        <f>3</f>
        <v>3</v>
      </c>
      <c r="CF80" s="13">
        <f t="shared" si="40"/>
        <v>16</v>
      </c>
      <c r="CG80" s="62"/>
      <c r="CH80" s="143">
        <f>3+4+3</f>
        <v>10</v>
      </c>
      <c r="CI80" s="13">
        <f t="shared" si="46"/>
        <v>6</v>
      </c>
      <c r="CJ80" s="62"/>
      <c r="CK80" s="143"/>
      <c r="CL80" s="13">
        <f t="shared" si="47"/>
        <v>6</v>
      </c>
      <c r="CM80" s="62"/>
      <c r="CN80" s="143"/>
      <c r="CO80" s="13">
        <f t="shared" si="41"/>
        <v>6</v>
      </c>
      <c r="CP80" s="62"/>
      <c r="CQ80" s="143"/>
      <c r="CR80" s="13">
        <f t="shared" si="48"/>
        <v>6</v>
      </c>
      <c r="CS80" s="62"/>
      <c r="CT80" s="143"/>
      <c r="CU80" s="14">
        <f t="shared" si="42"/>
        <v>6</v>
      </c>
      <c r="CV80" s="5">
        <f t="shared" si="43"/>
        <v>48</v>
      </c>
      <c r="CW80" s="4">
        <f t="shared" si="43"/>
        <v>47</v>
      </c>
      <c r="CX80" s="6">
        <f t="shared" si="95"/>
        <v>6</v>
      </c>
      <c r="CY80" s="162">
        <v>3050</v>
      </c>
      <c r="CZ80" s="171">
        <f t="shared" si="45"/>
        <v>18300</v>
      </c>
      <c r="DB80" s="2">
        <f t="shared" si="49"/>
        <v>6</v>
      </c>
      <c r="DC80" s="62"/>
      <c r="DD80" s="143"/>
      <c r="DE80" s="149">
        <f t="shared" si="50"/>
        <v>6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51</v>
      </c>
      <c r="G81" s="62"/>
      <c r="H81" s="143"/>
      <c r="I81" s="13">
        <f t="shared" si="73"/>
        <v>51</v>
      </c>
      <c r="J81" s="62"/>
      <c r="K81" s="143">
        <v>3</v>
      </c>
      <c r="L81" s="13">
        <f t="shared" si="74"/>
        <v>48</v>
      </c>
      <c r="M81" s="62"/>
      <c r="N81" s="143">
        <v>5</v>
      </c>
      <c r="O81" s="13">
        <f t="shared" si="75"/>
        <v>43</v>
      </c>
      <c r="P81" s="62"/>
      <c r="Q81" s="143"/>
      <c r="R81" s="13">
        <f t="shared" si="76"/>
        <v>43</v>
      </c>
      <c r="S81" s="62"/>
      <c r="T81" s="143">
        <v>4</v>
      </c>
      <c r="U81" s="13">
        <f t="shared" si="77"/>
        <v>39</v>
      </c>
      <c r="V81" s="62"/>
      <c r="W81" s="143">
        <v>2</v>
      </c>
      <c r="X81" s="13">
        <f t="shared" si="78"/>
        <v>37</v>
      </c>
      <c r="Y81" s="62"/>
      <c r="Z81" s="143">
        <v>10</v>
      </c>
      <c r="AA81" s="13">
        <f t="shared" si="79"/>
        <v>27</v>
      </c>
      <c r="AB81" s="62"/>
      <c r="AC81" s="143"/>
      <c r="AD81" s="13">
        <f t="shared" si="80"/>
        <v>27</v>
      </c>
      <c r="AE81" s="62"/>
      <c r="AF81" s="143">
        <v>3</v>
      </c>
      <c r="AG81" s="13">
        <f t="shared" si="81"/>
        <v>24</v>
      </c>
      <c r="AH81" s="62"/>
      <c r="AI81" s="143">
        <v>5</v>
      </c>
      <c r="AJ81" s="13">
        <f t="shared" si="82"/>
        <v>19</v>
      </c>
      <c r="AK81" s="62"/>
      <c r="AL81" s="143"/>
      <c r="AM81" s="13">
        <f t="shared" si="83"/>
        <v>19</v>
      </c>
      <c r="AN81" s="62">
        <v>28</v>
      </c>
      <c r="AO81" s="143">
        <v>4</v>
      </c>
      <c r="AP81" s="13">
        <f t="shared" si="84"/>
        <v>43</v>
      </c>
      <c r="AQ81" s="62"/>
      <c r="AR81" s="143">
        <v>3</v>
      </c>
      <c r="AS81" s="13">
        <f t="shared" si="85"/>
        <v>40</v>
      </c>
      <c r="AT81" s="62"/>
      <c r="AU81" s="143">
        <v>6</v>
      </c>
      <c r="AV81" s="13">
        <f t="shared" si="86"/>
        <v>34</v>
      </c>
      <c r="AW81" s="62"/>
      <c r="AX81" s="143"/>
      <c r="AY81" s="13">
        <f t="shared" si="87"/>
        <v>34</v>
      </c>
      <c r="AZ81" s="62"/>
      <c r="BA81" s="143"/>
      <c r="BB81" s="13">
        <f t="shared" si="88"/>
        <v>34</v>
      </c>
      <c r="BC81" s="62"/>
      <c r="BD81" s="143">
        <v>3</v>
      </c>
      <c r="BE81" s="13">
        <f t="shared" si="89"/>
        <v>31</v>
      </c>
      <c r="BF81" s="62"/>
      <c r="BG81" s="143"/>
      <c r="BH81" s="13">
        <f t="shared" si="90"/>
        <v>31</v>
      </c>
      <c r="BI81" s="62">
        <v>28</v>
      </c>
      <c r="BJ81" s="143">
        <v>5</v>
      </c>
      <c r="BK81" s="13">
        <f t="shared" si="91"/>
        <v>54</v>
      </c>
      <c r="BL81" s="62"/>
      <c r="BM81" s="143">
        <v>1</v>
      </c>
      <c r="BN81" s="13">
        <f t="shared" si="92"/>
        <v>53</v>
      </c>
      <c r="BO81" s="62"/>
      <c r="BP81" s="143">
        <v>7</v>
      </c>
      <c r="BQ81" s="13">
        <f t="shared" si="93"/>
        <v>46</v>
      </c>
      <c r="BR81" s="62"/>
      <c r="BS81" s="143"/>
      <c r="BT81" s="13">
        <f t="shared" si="37"/>
        <v>46</v>
      </c>
      <c r="BU81" s="62"/>
      <c r="BV81" s="143">
        <f>8-4</f>
        <v>4</v>
      </c>
      <c r="BW81" s="13">
        <f t="shared" si="94"/>
        <v>42</v>
      </c>
      <c r="BX81" s="62"/>
      <c r="BY81" s="143">
        <v>3</v>
      </c>
      <c r="BZ81" s="13">
        <f t="shared" si="38"/>
        <v>39</v>
      </c>
      <c r="CA81" s="62"/>
      <c r="CB81" s="143"/>
      <c r="CC81" s="13">
        <f t="shared" si="39"/>
        <v>39</v>
      </c>
      <c r="CD81" s="62">
        <v>27</v>
      </c>
      <c r="CE81" s="143">
        <v>6</v>
      </c>
      <c r="CF81" s="13">
        <f t="shared" si="40"/>
        <v>60</v>
      </c>
      <c r="CG81" s="62"/>
      <c r="CH81" s="143">
        <v>2</v>
      </c>
      <c r="CI81" s="13">
        <f t="shared" si="46"/>
        <v>58</v>
      </c>
      <c r="CJ81" s="62"/>
      <c r="CK81" s="143">
        <v>7</v>
      </c>
      <c r="CL81" s="13">
        <f t="shared" si="47"/>
        <v>51</v>
      </c>
      <c r="CM81" s="62"/>
      <c r="CN81" s="143"/>
      <c r="CO81" s="13">
        <f t="shared" si="41"/>
        <v>51</v>
      </c>
      <c r="CP81" s="62"/>
      <c r="CQ81" s="143">
        <v>3</v>
      </c>
      <c r="CR81" s="13">
        <f t="shared" si="48"/>
        <v>48</v>
      </c>
      <c r="CS81" s="62"/>
      <c r="CT81" s="143"/>
      <c r="CU81" s="14">
        <f t="shared" si="42"/>
        <v>48</v>
      </c>
      <c r="CV81" s="5">
        <f t="shared" si="43"/>
        <v>83</v>
      </c>
      <c r="CW81" s="4">
        <f t="shared" si="43"/>
        <v>86</v>
      </c>
      <c r="CX81" s="6">
        <f t="shared" si="95"/>
        <v>48</v>
      </c>
      <c r="CY81" s="162"/>
      <c r="CZ81" s="171">
        <f t="shared" si="45"/>
        <v>0</v>
      </c>
      <c r="DB81" s="2">
        <f t="shared" si="49"/>
        <v>48</v>
      </c>
      <c r="DC81" s="62"/>
      <c r="DD81" s="143"/>
      <c r="DE81" s="149">
        <f t="shared" si="50"/>
        <v>48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3</v>
      </c>
      <c r="G82" s="62"/>
      <c r="H82" s="143"/>
      <c r="I82" s="13">
        <f t="shared" si="73"/>
        <v>3</v>
      </c>
      <c r="J82" s="62">
        <v>6</v>
      </c>
      <c r="K82" s="143">
        <v>3</v>
      </c>
      <c r="L82" s="13">
        <f t="shared" si="74"/>
        <v>6</v>
      </c>
      <c r="M82" s="62">
        <v>6</v>
      </c>
      <c r="N82" s="143">
        <f>1+4</f>
        <v>5</v>
      </c>
      <c r="O82" s="13">
        <f t="shared" si="75"/>
        <v>7</v>
      </c>
      <c r="P82" s="62"/>
      <c r="Q82" s="143"/>
      <c r="R82" s="30">
        <f t="shared" si="76"/>
        <v>7</v>
      </c>
      <c r="S82" s="62"/>
      <c r="T82" s="143">
        <f>1+1</f>
        <v>2</v>
      </c>
      <c r="U82" s="13">
        <f t="shared" si="77"/>
        <v>5</v>
      </c>
      <c r="V82" s="62"/>
      <c r="W82" s="143">
        <v>2</v>
      </c>
      <c r="X82" s="13">
        <f t="shared" si="78"/>
        <v>3</v>
      </c>
      <c r="Y82" s="62">
        <v>6</v>
      </c>
      <c r="Z82" s="143"/>
      <c r="AA82" s="13">
        <f t="shared" si="79"/>
        <v>9</v>
      </c>
      <c r="AB82" s="62"/>
      <c r="AC82" s="143"/>
      <c r="AD82" s="13">
        <f t="shared" si="80"/>
        <v>9</v>
      </c>
      <c r="AE82" s="62">
        <v>6</v>
      </c>
      <c r="AF82" s="143">
        <v>4</v>
      </c>
      <c r="AG82" s="13">
        <f t="shared" si="81"/>
        <v>11</v>
      </c>
      <c r="AH82" s="62"/>
      <c r="AI82" s="143">
        <v>1</v>
      </c>
      <c r="AJ82" s="13">
        <f t="shared" si="82"/>
        <v>10</v>
      </c>
      <c r="AK82" s="62"/>
      <c r="AL82" s="143"/>
      <c r="AM82" s="13">
        <f t="shared" si="83"/>
        <v>10</v>
      </c>
      <c r="AN82" s="62"/>
      <c r="AO82" s="143">
        <v>1</v>
      </c>
      <c r="AP82" s="13">
        <f t="shared" si="84"/>
        <v>9</v>
      </c>
      <c r="AQ82" s="62"/>
      <c r="AR82" s="143"/>
      <c r="AS82" s="13">
        <f t="shared" si="85"/>
        <v>9</v>
      </c>
      <c r="AT82" s="62"/>
      <c r="AU82" s="143">
        <v>3</v>
      </c>
      <c r="AV82" s="13">
        <f t="shared" si="86"/>
        <v>6</v>
      </c>
      <c r="AW82" s="62"/>
      <c r="AX82" s="143"/>
      <c r="AY82" s="13">
        <f t="shared" si="87"/>
        <v>6</v>
      </c>
      <c r="AZ82" s="62"/>
      <c r="BA82" s="143">
        <v>1</v>
      </c>
      <c r="BB82" s="13">
        <f t="shared" si="88"/>
        <v>5</v>
      </c>
      <c r="BC82" s="62">
        <v>6</v>
      </c>
      <c r="BD82" s="143"/>
      <c r="BE82" s="13">
        <f t="shared" si="89"/>
        <v>11</v>
      </c>
      <c r="BF82" s="62"/>
      <c r="BG82" s="143"/>
      <c r="BH82" s="13">
        <f t="shared" si="90"/>
        <v>11</v>
      </c>
      <c r="BI82" s="62"/>
      <c r="BJ82" s="143">
        <f>1+4</f>
        <v>5</v>
      </c>
      <c r="BK82" s="13">
        <f t="shared" si="91"/>
        <v>6</v>
      </c>
      <c r="BL82" s="62"/>
      <c r="BM82" s="143">
        <v>1</v>
      </c>
      <c r="BN82" s="13">
        <f t="shared" si="92"/>
        <v>5</v>
      </c>
      <c r="BO82" s="62"/>
      <c r="BP82" s="143">
        <f>3+1</f>
        <v>4</v>
      </c>
      <c r="BQ82" s="13">
        <f t="shared" si="93"/>
        <v>1</v>
      </c>
      <c r="BR82" s="62"/>
      <c r="BS82" s="143"/>
      <c r="BT82" s="13">
        <f t="shared" si="37"/>
        <v>1</v>
      </c>
      <c r="BU82" s="62">
        <v>12</v>
      </c>
      <c r="BV82" s="143">
        <v>2</v>
      </c>
      <c r="BW82" s="13">
        <f t="shared" si="94"/>
        <v>11</v>
      </c>
      <c r="BX82" s="62"/>
      <c r="BY82" s="143">
        <f>1+3</f>
        <v>4</v>
      </c>
      <c r="BZ82" s="13">
        <f t="shared" si="38"/>
        <v>7</v>
      </c>
      <c r="CA82" s="62"/>
      <c r="CB82" s="143"/>
      <c r="CC82" s="13">
        <f t="shared" si="39"/>
        <v>7</v>
      </c>
      <c r="CD82" s="62"/>
      <c r="CE82" s="143">
        <v>1</v>
      </c>
      <c r="CF82" s="13">
        <f t="shared" si="40"/>
        <v>6</v>
      </c>
      <c r="CG82" s="62"/>
      <c r="CH82" s="143"/>
      <c r="CI82" s="13">
        <f t="shared" si="46"/>
        <v>6</v>
      </c>
      <c r="CJ82" s="62"/>
      <c r="CK82" s="143">
        <v>1</v>
      </c>
      <c r="CL82" s="13">
        <f t="shared" si="47"/>
        <v>5</v>
      </c>
      <c r="CM82" s="62"/>
      <c r="CN82" s="143"/>
      <c r="CO82" s="13">
        <f t="shared" si="41"/>
        <v>5</v>
      </c>
      <c r="CP82" s="62"/>
      <c r="CQ82" s="143">
        <v>4</v>
      </c>
      <c r="CR82" s="13">
        <f t="shared" si="48"/>
        <v>1</v>
      </c>
      <c r="CS82" s="62"/>
      <c r="CT82" s="143"/>
      <c r="CU82" s="14">
        <f t="shared" si="42"/>
        <v>1</v>
      </c>
      <c r="CV82" s="129">
        <f t="shared" si="43"/>
        <v>42</v>
      </c>
      <c r="CW82" s="130">
        <f t="shared" si="43"/>
        <v>44</v>
      </c>
      <c r="CX82" s="131">
        <f t="shared" si="95"/>
        <v>1</v>
      </c>
      <c r="CY82" s="163">
        <v>0</v>
      </c>
      <c r="CZ82" s="172">
        <f t="shared" si="45"/>
        <v>0</v>
      </c>
      <c r="DB82" s="2">
        <f t="shared" si="49"/>
        <v>1</v>
      </c>
      <c r="DC82" s="62"/>
      <c r="DD82" s="143"/>
      <c r="DE82" s="149">
        <f t="shared" si="50"/>
        <v>1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65</v>
      </c>
      <c r="G83" s="62"/>
      <c r="H83" s="143"/>
      <c r="I83" s="13">
        <f t="shared" si="73"/>
        <v>65</v>
      </c>
      <c r="J83" s="62">
        <v>48</v>
      </c>
      <c r="K83" s="143">
        <f>6+22</f>
        <v>28</v>
      </c>
      <c r="L83" s="13">
        <f t="shared" si="74"/>
        <v>85</v>
      </c>
      <c r="M83" s="62"/>
      <c r="N83" s="143">
        <v>22</v>
      </c>
      <c r="O83" s="13">
        <f t="shared" si="75"/>
        <v>63</v>
      </c>
      <c r="P83" s="62"/>
      <c r="Q83" s="143"/>
      <c r="R83" s="30">
        <f t="shared" si="76"/>
        <v>63</v>
      </c>
      <c r="S83" s="62"/>
      <c r="T83" s="143">
        <v>11</v>
      </c>
      <c r="U83" s="13">
        <f t="shared" si="77"/>
        <v>52</v>
      </c>
      <c r="V83" s="62"/>
      <c r="W83" s="143">
        <v>21</v>
      </c>
      <c r="X83" s="13">
        <f>U83+V83-W83</f>
        <v>31</v>
      </c>
      <c r="Y83" s="62">
        <f>24+96</f>
        <v>120</v>
      </c>
      <c r="Z83" s="143">
        <f>6+28</f>
        <v>34</v>
      </c>
      <c r="AA83" s="13">
        <f t="shared" si="79"/>
        <v>117</v>
      </c>
      <c r="AB83" s="62"/>
      <c r="AC83" s="143"/>
      <c r="AD83" s="13">
        <f t="shared" si="80"/>
        <v>117</v>
      </c>
      <c r="AE83" s="62"/>
      <c r="AF83" s="143">
        <f>2+18</f>
        <v>20</v>
      </c>
      <c r="AG83" s="13">
        <f t="shared" si="81"/>
        <v>97</v>
      </c>
      <c r="AH83" s="62"/>
      <c r="AI83" s="143">
        <f>4+18</f>
        <v>22</v>
      </c>
      <c r="AJ83" s="13">
        <f t="shared" si="82"/>
        <v>75</v>
      </c>
      <c r="AK83" s="62"/>
      <c r="AL83" s="143"/>
      <c r="AM83" s="13">
        <f t="shared" si="83"/>
        <v>75</v>
      </c>
      <c r="AN83" s="62"/>
      <c r="AO83" s="143">
        <f>4+8</f>
        <v>12</v>
      </c>
      <c r="AP83" s="13">
        <f t="shared" si="84"/>
        <v>63</v>
      </c>
      <c r="AQ83" s="62"/>
      <c r="AR83" s="143">
        <v>18</v>
      </c>
      <c r="AS83" s="13">
        <f t="shared" si="85"/>
        <v>45</v>
      </c>
      <c r="AT83" s="62">
        <v>24</v>
      </c>
      <c r="AU83" s="143">
        <v>37</v>
      </c>
      <c r="AV83" s="13">
        <f t="shared" si="86"/>
        <v>32</v>
      </c>
      <c r="AW83" s="62"/>
      <c r="AX83" s="143"/>
      <c r="AY83" s="13">
        <f t="shared" si="87"/>
        <v>32</v>
      </c>
      <c r="AZ83" s="62"/>
      <c r="BA83" s="143">
        <v>22</v>
      </c>
      <c r="BB83" s="13">
        <f t="shared" si="88"/>
        <v>10</v>
      </c>
      <c r="BC83" s="62">
        <f>-7+96</f>
        <v>89</v>
      </c>
      <c r="BD83" s="143">
        <f>3+7</f>
        <v>10</v>
      </c>
      <c r="BE83" s="13">
        <f t="shared" si="89"/>
        <v>89</v>
      </c>
      <c r="BF83" s="62"/>
      <c r="BG83" s="143"/>
      <c r="BH83" s="13">
        <f t="shared" si="90"/>
        <v>89</v>
      </c>
      <c r="BI83" s="62"/>
      <c r="BJ83" s="143">
        <v>19</v>
      </c>
      <c r="BK83" s="13">
        <f t="shared" si="91"/>
        <v>70</v>
      </c>
      <c r="BL83" s="62"/>
      <c r="BM83" s="143">
        <f>3+16</f>
        <v>19</v>
      </c>
      <c r="BN83" s="13">
        <f t="shared" si="92"/>
        <v>51</v>
      </c>
      <c r="BO83" s="62"/>
      <c r="BP83" s="143">
        <f>2+36+6</f>
        <v>44</v>
      </c>
      <c r="BQ83" s="13">
        <f t="shared" si="93"/>
        <v>7</v>
      </c>
      <c r="BR83" s="62"/>
      <c r="BS83" s="143"/>
      <c r="BT83" s="13">
        <f t="shared" si="37"/>
        <v>7</v>
      </c>
      <c r="BU83" s="62">
        <f>24+72</f>
        <v>96</v>
      </c>
      <c r="BV83" s="143">
        <v>11</v>
      </c>
      <c r="BW83" s="13">
        <f t="shared" si="94"/>
        <v>92</v>
      </c>
      <c r="BX83" s="62"/>
      <c r="BY83" s="143">
        <f>2+18</f>
        <v>20</v>
      </c>
      <c r="BZ83" s="13">
        <f t="shared" si="38"/>
        <v>72</v>
      </c>
      <c r="CA83" s="62"/>
      <c r="CB83" s="143"/>
      <c r="CC83" s="13">
        <f t="shared" si="39"/>
        <v>72</v>
      </c>
      <c r="CD83" s="62"/>
      <c r="CE83" s="143">
        <f>2+14</f>
        <v>16</v>
      </c>
      <c r="CF83" s="13">
        <f t="shared" si="40"/>
        <v>56</v>
      </c>
      <c r="CG83" s="62">
        <v>48</v>
      </c>
      <c r="CH83" s="143">
        <v>5</v>
      </c>
      <c r="CI83" s="13">
        <f t="shared" si="46"/>
        <v>99</v>
      </c>
      <c r="CJ83" s="62"/>
      <c r="CK83" s="143">
        <f>6+28</f>
        <v>34</v>
      </c>
      <c r="CL83" s="13">
        <f t="shared" si="47"/>
        <v>65</v>
      </c>
      <c r="CM83" s="62"/>
      <c r="CN83" s="143"/>
      <c r="CO83" s="13">
        <f t="shared" si="41"/>
        <v>65</v>
      </c>
      <c r="CP83" s="62"/>
      <c r="CQ83" s="143">
        <f>2+28</f>
        <v>30</v>
      </c>
      <c r="CR83" s="13">
        <f t="shared" si="48"/>
        <v>35</v>
      </c>
      <c r="CS83" s="62"/>
      <c r="CT83" s="143"/>
      <c r="CU83" s="14">
        <f t="shared" si="42"/>
        <v>35</v>
      </c>
      <c r="CV83" s="5">
        <f>G83+J83+M83+P83+S83+V83+Y83+AB83+AE83+AH83+AK83+AN83+AQ83+AT83+AW83+AZ83+BC83+BF83+BI83+BL83+BO83+BR83+BU83+BX83+CA83+CD83+CG83+CJ83+CM83+CP83+CS83</f>
        <v>425</v>
      </c>
      <c r="CW83" s="4">
        <f>H83+K83+N83+Q83+T83+W83+Z83+AC83+AF83+AI83+AL83+AO83+AR83+AU83+AX83+BA83+BD83+BG83+BJ83+BM83+BP83+BS83+BV83+BY83+CB83+CE83+CH83+CK83+CN83+CQ83+CT83</f>
        <v>455</v>
      </c>
      <c r="CX83" s="6">
        <f t="shared" si="95"/>
        <v>35</v>
      </c>
      <c r="CY83" s="164">
        <v>0</v>
      </c>
      <c r="CZ83" s="171">
        <f t="shared" si="45"/>
        <v>0</v>
      </c>
      <c r="DB83" s="2">
        <f t="shared" si="49"/>
        <v>35</v>
      </c>
      <c r="DC83" s="62"/>
      <c r="DD83" s="143"/>
      <c r="DE83" s="149">
        <f t="shared" si="50"/>
        <v>35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171241.82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184941.16560000001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AC5D-5435-4FAC-8DF3-BBEF8E162B28}">
  <sheetPr codeName="Sheet40">
    <tabColor rgb="FF00B0F0"/>
    <pageSetUpPr fitToPage="1"/>
  </sheetPr>
  <dimension ref="A1:DE133"/>
  <sheetViews>
    <sheetView zoomScale="160" zoomScaleNormal="160" workbookViewId="0">
      <pane xSplit="5" ySplit="4" topLeftCell="CP6" activePane="bottomRight" state="frozen"/>
      <selection pane="topRight" activeCell="F1" sqref="F1"/>
      <selection pane="bottomLeft" activeCell="A5" sqref="A5"/>
      <selection pane="bottomRight" activeCell="CY95" sqref="CY95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3" width="5" style="10" hidden="1" customWidth="1"/>
    <col min="94" max="99" width="5" style="10" customWidth="1"/>
    <col min="100" max="102" width="6.33203125" style="1" customWidth="1"/>
    <col min="103" max="103" width="5.6640625" style="1" customWidth="1"/>
    <col min="104" max="104" width="7.77734375" style="1" customWidth="1"/>
    <col min="105" max="105" width="1.44140625" style="1" customWidth="1"/>
    <col min="106" max="106" width="5.4414062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5</v>
      </c>
      <c r="E1" s="1" t="s">
        <v>1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0</v>
      </c>
      <c r="G5" s="62"/>
      <c r="H5" s="143"/>
      <c r="I5" s="13">
        <f t="shared" ref="I5:I67" si="0">F5+G5-H5</f>
        <v>0</v>
      </c>
      <c r="J5" s="62"/>
      <c r="K5" s="143"/>
      <c r="L5" s="13">
        <f t="shared" ref="L5:L67" si="1">I5+J5-K5</f>
        <v>0</v>
      </c>
      <c r="M5" s="62"/>
      <c r="N5" s="143"/>
      <c r="O5" s="13">
        <f t="shared" ref="O5:O67" si="2">L5+M5-N5</f>
        <v>0</v>
      </c>
      <c r="P5" s="62"/>
      <c r="Q5" s="143"/>
      <c r="R5" s="13">
        <f t="shared" ref="R5:R67" si="3">O5+P5-Q5</f>
        <v>0</v>
      </c>
      <c r="S5" s="62"/>
      <c r="T5" s="143"/>
      <c r="U5" s="13">
        <f t="shared" ref="U5:U68" si="4">R5+S5-T5</f>
        <v>0</v>
      </c>
      <c r="V5" s="62"/>
      <c r="W5" s="143"/>
      <c r="X5" s="13">
        <f t="shared" ref="X5:X68" si="5">U5+V5-W5</f>
        <v>0</v>
      </c>
      <c r="Y5" s="62"/>
      <c r="Z5" s="143"/>
      <c r="AA5" s="13">
        <f>X5+Y5-Z5</f>
        <v>0</v>
      </c>
      <c r="AB5" s="62"/>
      <c r="AC5" s="143"/>
      <c r="AD5" s="13">
        <f>AA5+AB5-AC5</f>
        <v>0</v>
      </c>
      <c r="AE5" s="62"/>
      <c r="AF5" s="143"/>
      <c r="AG5" s="13">
        <f>AD5+AE5-AF5</f>
        <v>0</v>
      </c>
      <c r="AH5" s="62"/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1"/>
      <c r="CQ5" s="143"/>
      <c r="CR5" s="181">
        <f>CO5+CP5-CQ5</f>
        <v>0</v>
      </c>
      <c r="CS5" s="62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0</v>
      </c>
      <c r="CY5" s="162">
        <v>0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9</v>
      </c>
      <c r="G6" s="62"/>
      <c r="H6" s="143"/>
      <c r="I6" s="13">
        <f t="shared" si="0"/>
        <v>9</v>
      </c>
      <c r="J6" s="62"/>
      <c r="K6" s="143">
        <f>4</f>
        <v>4</v>
      </c>
      <c r="L6" s="13">
        <f t="shared" si="1"/>
        <v>5</v>
      </c>
      <c r="M6" s="62">
        <v>10</v>
      </c>
      <c r="N6" s="143">
        <v>1</v>
      </c>
      <c r="O6" s="13">
        <f t="shared" si="2"/>
        <v>14</v>
      </c>
      <c r="P6" s="62"/>
      <c r="Q6" s="143"/>
      <c r="R6" s="13">
        <f t="shared" si="3"/>
        <v>14</v>
      </c>
      <c r="S6" s="62"/>
      <c r="T6" s="143">
        <f>2</f>
        <v>2</v>
      </c>
      <c r="U6" s="13">
        <f t="shared" si="4"/>
        <v>12</v>
      </c>
      <c r="V6" s="62"/>
      <c r="W6" s="143">
        <f>1+3</f>
        <v>4</v>
      </c>
      <c r="X6" s="13">
        <f t="shared" si="5"/>
        <v>8</v>
      </c>
      <c r="Y6" s="62"/>
      <c r="Z6" s="143"/>
      <c r="AA6" s="13">
        <f t="shared" ref="AA6:AA68" si="27">X6+Y6-Z6</f>
        <v>8</v>
      </c>
      <c r="AB6" s="62"/>
      <c r="AC6" s="143">
        <f>3+1+1</f>
        <v>5</v>
      </c>
      <c r="AD6" s="13">
        <f t="shared" ref="AD6:AD68" si="28">AA6+AB6-AC6</f>
        <v>3</v>
      </c>
      <c r="AE6" s="62"/>
      <c r="AF6" s="143">
        <v>2</v>
      </c>
      <c r="AG6" s="13">
        <f t="shared" ref="AG6:AG68" si="29">AD6+AE6-AF6</f>
        <v>1</v>
      </c>
      <c r="AH6" s="62">
        <f>-1+10</f>
        <v>9</v>
      </c>
      <c r="AI6" s="143">
        <v>1</v>
      </c>
      <c r="AJ6" s="13">
        <f t="shared" ref="AJ6:AJ68" si="30">AG6+AH6-AI6</f>
        <v>9</v>
      </c>
      <c r="AK6" s="62"/>
      <c r="AL6" s="143"/>
      <c r="AM6" s="13">
        <f t="shared" si="6"/>
        <v>9</v>
      </c>
      <c r="AN6" s="62">
        <v>10</v>
      </c>
      <c r="AO6" s="143">
        <f>3+3+2</f>
        <v>8</v>
      </c>
      <c r="AP6" s="13">
        <f t="shared" si="7"/>
        <v>11</v>
      </c>
      <c r="AQ6" s="62"/>
      <c r="AR6" s="143">
        <f>2+1+1</f>
        <v>4</v>
      </c>
      <c r="AS6" s="13">
        <f t="shared" si="8"/>
        <v>7</v>
      </c>
      <c r="AT6" s="62"/>
      <c r="AU6" s="143">
        <v>1</v>
      </c>
      <c r="AV6" s="13">
        <f t="shared" si="9"/>
        <v>6</v>
      </c>
      <c r="AW6" s="62"/>
      <c r="AX6" s="143"/>
      <c r="AY6" s="13">
        <f t="shared" si="10"/>
        <v>6</v>
      </c>
      <c r="AZ6" s="62"/>
      <c r="BA6" s="143">
        <v>3</v>
      </c>
      <c r="BB6" s="13">
        <f t="shared" si="11"/>
        <v>3</v>
      </c>
      <c r="BC6" s="62">
        <v>10</v>
      </c>
      <c r="BD6" s="143"/>
      <c r="BE6" s="13">
        <f t="shared" si="12"/>
        <v>13</v>
      </c>
      <c r="BF6" s="62"/>
      <c r="BG6" s="143"/>
      <c r="BH6" s="13">
        <f t="shared" si="13"/>
        <v>13</v>
      </c>
      <c r="BI6" s="62"/>
      <c r="BJ6" s="143"/>
      <c r="BK6" s="13">
        <f t="shared" si="14"/>
        <v>13</v>
      </c>
      <c r="BL6" s="62">
        <v>10</v>
      </c>
      <c r="BM6" s="143">
        <f>2</f>
        <v>2</v>
      </c>
      <c r="BN6" s="13">
        <f t="shared" si="15"/>
        <v>21</v>
      </c>
      <c r="BO6" s="62"/>
      <c r="BP6" s="143">
        <f>3</f>
        <v>3</v>
      </c>
      <c r="BQ6" s="13">
        <f t="shared" si="16"/>
        <v>18</v>
      </c>
      <c r="BR6" s="62"/>
      <c r="BS6" s="143">
        <f>4</f>
        <v>4</v>
      </c>
      <c r="BT6" s="13">
        <f t="shared" si="17"/>
        <v>14</v>
      </c>
      <c r="BU6" s="62"/>
      <c r="BV6" s="143">
        <f>4</f>
        <v>4</v>
      </c>
      <c r="BW6" s="13">
        <f t="shared" si="18"/>
        <v>10</v>
      </c>
      <c r="BX6" s="62"/>
      <c r="BY6" s="143">
        <f>5+2</f>
        <v>7</v>
      </c>
      <c r="BZ6" s="13">
        <f t="shared" si="19"/>
        <v>3</v>
      </c>
      <c r="CA6" s="62"/>
      <c r="CB6" s="143"/>
      <c r="CC6" s="13">
        <f t="shared" si="20"/>
        <v>3</v>
      </c>
      <c r="CD6" s="62">
        <v>10</v>
      </c>
      <c r="CE6" s="143"/>
      <c r="CF6" s="13">
        <f t="shared" si="21"/>
        <v>13</v>
      </c>
      <c r="CG6" s="62">
        <v>10</v>
      </c>
      <c r="CH6" s="143">
        <f>3+3+2</f>
        <v>8</v>
      </c>
      <c r="CI6" s="13">
        <f t="shared" ref="CI6:CI69" si="31">CF6+CG6-CH6</f>
        <v>15</v>
      </c>
      <c r="CJ6" s="62"/>
      <c r="CK6" s="143"/>
      <c r="CL6" s="13">
        <f t="shared" ref="CL6:CL69" si="32">CI6+CJ6-CK6</f>
        <v>15</v>
      </c>
      <c r="CM6" s="62"/>
      <c r="CN6" s="143">
        <f>2+2</f>
        <v>4</v>
      </c>
      <c r="CO6" s="13">
        <f t="shared" si="22"/>
        <v>11</v>
      </c>
      <c r="CP6" s="61"/>
      <c r="CQ6" s="143"/>
      <c r="CR6" s="13">
        <f t="shared" ref="CR6:CR69" si="33">CO6+CP6-CQ6</f>
        <v>11</v>
      </c>
      <c r="CS6" s="62"/>
      <c r="CT6" s="143">
        <f>4</f>
        <v>4</v>
      </c>
      <c r="CU6" s="14">
        <f t="shared" si="23"/>
        <v>7</v>
      </c>
      <c r="CV6" s="5">
        <f t="shared" si="24"/>
        <v>69</v>
      </c>
      <c r="CW6" s="4">
        <f t="shared" si="24"/>
        <v>71</v>
      </c>
      <c r="CX6" s="6">
        <f t="shared" si="25"/>
        <v>7</v>
      </c>
      <c r="CY6" s="162">
        <v>210</v>
      </c>
      <c r="CZ6" s="171">
        <f t="shared" si="26"/>
        <v>1470</v>
      </c>
      <c r="DB6" s="2">
        <f t="shared" ref="DB6:DB69" si="34">CU6</f>
        <v>7</v>
      </c>
      <c r="DC6" s="61"/>
      <c r="DD6" s="143"/>
      <c r="DE6" s="149">
        <f t="shared" ref="DE6:DE70" si="35">DC6+DB6-DD6</f>
        <v>7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1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11</v>
      </c>
      <c r="G8" s="62">
        <v>20</v>
      </c>
      <c r="H8" s="143">
        <v>10</v>
      </c>
      <c r="I8" s="13">
        <f t="shared" si="0"/>
        <v>21</v>
      </c>
      <c r="J8" s="62">
        <v>20</v>
      </c>
      <c r="K8" s="143">
        <v>9</v>
      </c>
      <c r="L8" s="13">
        <f t="shared" si="1"/>
        <v>32</v>
      </c>
      <c r="M8" s="62">
        <v>20</v>
      </c>
      <c r="N8" s="143">
        <f>13</f>
        <v>13</v>
      </c>
      <c r="O8" s="13">
        <f t="shared" si="2"/>
        <v>39</v>
      </c>
      <c r="P8" s="62"/>
      <c r="Q8" s="143"/>
      <c r="R8" s="13">
        <f t="shared" si="3"/>
        <v>39</v>
      </c>
      <c r="S8" s="62"/>
      <c r="T8" s="143">
        <f>9</f>
        <v>9</v>
      </c>
      <c r="U8" s="13">
        <f t="shared" si="4"/>
        <v>30</v>
      </c>
      <c r="V8" s="62"/>
      <c r="W8" s="143">
        <v>11</v>
      </c>
      <c r="X8" s="13">
        <f t="shared" si="5"/>
        <v>19</v>
      </c>
      <c r="Y8" s="62"/>
      <c r="Z8" s="143"/>
      <c r="AA8" s="13">
        <f t="shared" si="27"/>
        <v>19</v>
      </c>
      <c r="AB8" s="62">
        <v>20</v>
      </c>
      <c r="AC8" s="143">
        <v>3</v>
      </c>
      <c r="AD8" s="13">
        <f t="shared" si="28"/>
        <v>36</v>
      </c>
      <c r="AE8" s="62"/>
      <c r="AF8" s="143"/>
      <c r="AG8" s="13">
        <f t="shared" si="29"/>
        <v>36</v>
      </c>
      <c r="AH8" s="62"/>
      <c r="AI8" s="143">
        <v>8</v>
      </c>
      <c r="AJ8" s="13">
        <f t="shared" si="30"/>
        <v>28</v>
      </c>
      <c r="AK8" s="62"/>
      <c r="AL8" s="143"/>
      <c r="AM8" s="13">
        <f t="shared" si="6"/>
        <v>28</v>
      </c>
      <c r="AN8" s="62"/>
      <c r="AO8" s="143">
        <v>7</v>
      </c>
      <c r="AP8" s="13">
        <f t="shared" si="7"/>
        <v>21</v>
      </c>
      <c r="AQ8" s="62"/>
      <c r="AR8" s="143">
        <v>5</v>
      </c>
      <c r="AS8" s="13">
        <f t="shared" si="8"/>
        <v>16</v>
      </c>
      <c r="AT8" s="62"/>
      <c r="AU8" s="143"/>
      <c r="AV8" s="13">
        <f t="shared" si="9"/>
        <v>16</v>
      </c>
      <c r="AW8" s="62">
        <v>20</v>
      </c>
      <c r="AX8" s="143">
        <v>7</v>
      </c>
      <c r="AY8" s="13">
        <f t="shared" si="10"/>
        <v>29</v>
      </c>
      <c r="AZ8" s="62"/>
      <c r="BA8" s="143">
        <v>6</v>
      </c>
      <c r="BB8" s="13">
        <f t="shared" si="11"/>
        <v>23</v>
      </c>
      <c r="BC8" s="62">
        <v>20</v>
      </c>
      <c r="BD8" s="143">
        <v>12</v>
      </c>
      <c r="BE8" s="13">
        <f t="shared" si="12"/>
        <v>31</v>
      </c>
      <c r="BF8" s="62"/>
      <c r="BG8" s="143"/>
      <c r="BH8" s="13">
        <f t="shared" si="13"/>
        <v>31</v>
      </c>
      <c r="BI8" s="62"/>
      <c r="BJ8" s="143">
        <v>6</v>
      </c>
      <c r="BK8" s="13">
        <f t="shared" si="14"/>
        <v>25</v>
      </c>
      <c r="BL8" s="62"/>
      <c r="BM8" s="143">
        <v>7</v>
      </c>
      <c r="BN8" s="13">
        <f t="shared" si="15"/>
        <v>18</v>
      </c>
      <c r="BO8" s="62"/>
      <c r="BP8" s="143"/>
      <c r="BQ8" s="13">
        <f t="shared" si="16"/>
        <v>18</v>
      </c>
      <c r="BR8" s="62">
        <v>20</v>
      </c>
      <c r="BS8" s="143">
        <v>7</v>
      </c>
      <c r="BT8" s="13">
        <f t="shared" si="17"/>
        <v>31</v>
      </c>
      <c r="BU8" s="62"/>
      <c r="BV8" s="143">
        <v>5</v>
      </c>
      <c r="BW8" s="13">
        <f t="shared" si="18"/>
        <v>26</v>
      </c>
      <c r="BX8" s="62"/>
      <c r="BY8" s="143">
        <f>5+1</f>
        <v>6</v>
      </c>
      <c r="BZ8" s="13">
        <f t="shared" si="19"/>
        <v>20</v>
      </c>
      <c r="CA8" s="62"/>
      <c r="CB8" s="143"/>
      <c r="CC8" s="13">
        <f t="shared" si="20"/>
        <v>20</v>
      </c>
      <c r="CD8" s="62"/>
      <c r="CE8" s="143">
        <v>5</v>
      </c>
      <c r="CF8" s="13">
        <f t="shared" si="21"/>
        <v>15</v>
      </c>
      <c r="CG8" s="62">
        <v>20</v>
      </c>
      <c r="CH8" s="143">
        <f>9+6</f>
        <v>15</v>
      </c>
      <c r="CI8" s="13">
        <f t="shared" si="31"/>
        <v>20</v>
      </c>
      <c r="CJ8" s="62"/>
      <c r="CK8" s="143"/>
      <c r="CL8" s="13">
        <f t="shared" si="32"/>
        <v>20</v>
      </c>
      <c r="CM8" s="62">
        <v>2</v>
      </c>
      <c r="CN8" s="143">
        <v>3</v>
      </c>
      <c r="CO8" s="13">
        <f t="shared" si="22"/>
        <v>19</v>
      </c>
      <c r="CP8" s="61"/>
      <c r="CQ8" s="143">
        <v>5</v>
      </c>
      <c r="CR8" s="13">
        <f t="shared" si="33"/>
        <v>14</v>
      </c>
      <c r="CS8" s="62">
        <v>20</v>
      </c>
      <c r="CT8" s="143">
        <v>12</v>
      </c>
      <c r="CU8" s="14">
        <f t="shared" si="23"/>
        <v>22</v>
      </c>
      <c r="CV8" s="5">
        <f t="shared" si="24"/>
        <v>182</v>
      </c>
      <c r="CW8" s="4">
        <f t="shared" si="24"/>
        <v>171</v>
      </c>
      <c r="CX8" s="6">
        <f t="shared" si="25"/>
        <v>22</v>
      </c>
      <c r="CY8" s="162">
        <v>125</v>
      </c>
      <c r="CZ8" s="171">
        <f t="shared" si="26"/>
        <v>2750</v>
      </c>
      <c r="DB8" s="2">
        <f t="shared" si="34"/>
        <v>22</v>
      </c>
      <c r="DC8" s="61"/>
      <c r="DD8" s="143"/>
      <c r="DE8" s="149">
        <f t="shared" si="35"/>
        <v>22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1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66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65</v>
      </c>
      <c r="G12" s="62">
        <f>40+40</f>
        <v>80</v>
      </c>
      <c r="H12" s="143">
        <f>6+59</f>
        <v>65</v>
      </c>
      <c r="I12" s="13">
        <f t="shared" si="0"/>
        <v>80</v>
      </c>
      <c r="J12" s="62">
        <f>60+40</f>
        <v>100</v>
      </c>
      <c r="K12" s="143">
        <f>50</f>
        <v>50</v>
      </c>
      <c r="L12" s="13">
        <f t="shared" si="1"/>
        <v>130</v>
      </c>
      <c r="M12" s="62">
        <v>80</v>
      </c>
      <c r="N12" s="143">
        <f>6+90</f>
        <v>96</v>
      </c>
      <c r="O12" s="13">
        <f t="shared" si="2"/>
        <v>114</v>
      </c>
      <c r="P12" s="62"/>
      <c r="Q12" s="143"/>
      <c r="R12" s="13">
        <f t="shared" si="3"/>
        <v>114</v>
      </c>
      <c r="S12" s="62"/>
      <c r="T12" s="143">
        <f>6+51</f>
        <v>57</v>
      </c>
      <c r="U12" s="13">
        <f t="shared" si="4"/>
        <v>57</v>
      </c>
      <c r="V12" s="62"/>
      <c r="W12" s="143">
        <f>6+51</f>
        <v>57</v>
      </c>
      <c r="X12" s="13">
        <f t="shared" si="5"/>
        <v>0</v>
      </c>
      <c r="Y12" s="62">
        <v>60</v>
      </c>
      <c r="Z12" s="143"/>
      <c r="AA12" s="13">
        <f t="shared" si="27"/>
        <v>60</v>
      </c>
      <c r="AB12" s="62">
        <v>40</v>
      </c>
      <c r="AC12" s="143">
        <f>4+19</f>
        <v>23</v>
      </c>
      <c r="AD12" s="13">
        <f t="shared" si="28"/>
        <v>77</v>
      </c>
      <c r="AE12" s="62">
        <v>60</v>
      </c>
      <c r="AF12" s="143">
        <f>5+14</f>
        <v>19</v>
      </c>
      <c r="AG12" s="13">
        <f t="shared" si="29"/>
        <v>118</v>
      </c>
      <c r="AH12" s="62">
        <v>40</v>
      </c>
      <c r="AI12" s="143">
        <f>6+29+11</f>
        <v>46</v>
      </c>
      <c r="AJ12" s="13">
        <f t="shared" si="30"/>
        <v>112</v>
      </c>
      <c r="AK12" s="62"/>
      <c r="AL12" s="143"/>
      <c r="AM12" s="13">
        <f t="shared" si="6"/>
        <v>112</v>
      </c>
      <c r="AN12" s="62"/>
      <c r="AO12" s="143">
        <f>9+34</f>
        <v>43</v>
      </c>
      <c r="AP12" s="13">
        <f t="shared" si="7"/>
        <v>69</v>
      </c>
      <c r="AQ12" s="62"/>
      <c r="AR12" s="143">
        <f>3+43</f>
        <v>46</v>
      </c>
      <c r="AS12" s="13">
        <f t="shared" si="8"/>
        <v>23</v>
      </c>
      <c r="AT12" s="62"/>
      <c r="AU12" s="143"/>
      <c r="AV12" s="13">
        <f t="shared" si="9"/>
        <v>23</v>
      </c>
      <c r="AW12" s="62">
        <f>-8+40+20</f>
        <v>52</v>
      </c>
      <c r="AX12" s="143">
        <f>3+20</f>
        <v>23</v>
      </c>
      <c r="AY12" s="13">
        <f t="shared" si="10"/>
        <v>52</v>
      </c>
      <c r="AZ12" s="62">
        <f>40+20</f>
        <v>60</v>
      </c>
      <c r="BA12" s="143">
        <f>8+42</f>
        <v>50</v>
      </c>
      <c r="BB12" s="13">
        <f t="shared" si="11"/>
        <v>62</v>
      </c>
      <c r="BC12" s="62">
        <f>-18+20+40</f>
        <v>42</v>
      </c>
      <c r="BD12" s="143">
        <f>7+55</f>
        <v>62</v>
      </c>
      <c r="BE12" s="13">
        <f t="shared" si="12"/>
        <v>42</v>
      </c>
      <c r="BF12" s="62"/>
      <c r="BG12" s="143"/>
      <c r="BH12" s="13">
        <f t="shared" si="13"/>
        <v>42</v>
      </c>
      <c r="BI12" s="62">
        <v>20</v>
      </c>
      <c r="BJ12" s="143">
        <f>6+25</f>
        <v>31</v>
      </c>
      <c r="BK12" s="13">
        <f t="shared" si="14"/>
        <v>31</v>
      </c>
      <c r="BL12" s="62">
        <f>-17+20+20</f>
        <v>23</v>
      </c>
      <c r="BM12" s="143">
        <f>4+26</f>
        <v>30</v>
      </c>
      <c r="BN12" s="13">
        <f t="shared" si="15"/>
        <v>24</v>
      </c>
      <c r="BO12" s="62"/>
      <c r="BP12" s="143"/>
      <c r="BQ12" s="13">
        <f t="shared" si="16"/>
        <v>24</v>
      </c>
      <c r="BR12" s="62">
        <f>-9+40+20</f>
        <v>51</v>
      </c>
      <c r="BS12" s="143">
        <f>4+20</f>
        <v>24</v>
      </c>
      <c r="BT12" s="13">
        <f t="shared" si="17"/>
        <v>51</v>
      </c>
      <c r="BU12" s="62">
        <f>40+20</f>
        <v>60</v>
      </c>
      <c r="BV12" s="143">
        <f>4+29</f>
        <v>33</v>
      </c>
      <c r="BW12" s="13">
        <f t="shared" si="18"/>
        <v>78</v>
      </c>
      <c r="BX12" s="62">
        <f>20+20</f>
        <v>40</v>
      </c>
      <c r="BY12" s="143">
        <f>12+65</f>
        <v>77</v>
      </c>
      <c r="BZ12" s="13">
        <f t="shared" si="19"/>
        <v>41</v>
      </c>
      <c r="CA12" s="62"/>
      <c r="CB12" s="143"/>
      <c r="CC12" s="13">
        <f t="shared" si="20"/>
        <v>41</v>
      </c>
      <c r="CD12" s="62">
        <f>-2+40+20</f>
        <v>58</v>
      </c>
      <c r="CE12" s="143">
        <f>4+37</f>
        <v>41</v>
      </c>
      <c r="CF12" s="13">
        <f t="shared" si="21"/>
        <v>58</v>
      </c>
      <c r="CG12" s="62">
        <v>20</v>
      </c>
      <c r="CH12" s="143">
        <f>3+47</f>
        <v>50</v>
      </c>
      <c r="CI12" s="13">
        <f t="shared" si="31"/>
        <v>28</v>
      </c>
      <c r="CJ12" s="62"/>
      <c r="CK12" s="143"/>
      <c r="CL12" s="13">
        <f t="shared" si="32"/>
        <v>28</v>
      </c>
      <c r="CM12" s="62">
        <f>-15+20+20</f>
        <v>25</v>
      </c>
      <c r="CN12" s="143">
        <f>2+26</f>
        <v>28</v>
      </c>
      <c r="CO12" s="13">
        <f t="shared" si="22"/>
        <v>25</v>
      </c>
      <c r="CP12" s="61">
        <f>-21+40+40</f>
        <v>59</v>
      </c>
      <c r="CQ12" s="143">
        <v>25</v>
      </c>
      <c r="CR12" s="13">
        <f t="shared" si="33"/>
        <v>59</v>
      </c>
      <c r="CS12" s="62">
        <f>-23+20+7</f>
        <v>4</v>
      </c>
      <c r="CT12" s="143">
        <f>5+54</f>
        <v>59</v>
      </c>
      <c r="CU12" s="14">
        <f t="shared" si="23"/>
        <v>4</v>
      </c>
      <c r="CV12" s="5">
        <f t="shared" si="24"/>
        <v>974</v>
      </c>
      <c r="CW12" s="4">
        <f t="shared" si="24"/>
        <v>1035</v>
      </c>
      <c r="CX12" s="6">
        <f t="shared" si="25"/>
        <v>4</v>
      </c>
      <c r="CY12" s="162">
        <v>45</v>
      </c>
      <c r="CZ12" s="171">
        <f t="shared" si="26"/>
        <v>180</v>
      </c>
      <c r="DB12" s="2">
        <f t="shared" si="34"/>
        <v>4</v>
      </c>
      <c r="DC12" s="61"/>
      <c r="DD12" s="143"/>
      <c r="DE12" s="149">
        <f t="shared" si="35"/>
        <v>4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6</v>
      </c>
      <c r="G13" s="62"/>
      <c r="H13" s="143">
        <v>2</v>
      </c>
      <c r="I13" s="13">
        <f t="shared" si="0"/>
        <v>4</v>
      </c>
      <c r="J13" s="62">
        <v>6</v>
      </c>
      <c r="K13" s="143">
        <f>1</f>
        <v>1</v>
      </c>
      <c r="L13" s="13">
        <f t="shared" si="1"/>
        <v>9</v>
      </c>
      <c r="M13" s="62"/>
      <c r="N13" s="143">
        <f>2</f>
        <v>2</v>
      </c>
      <c r="O13" s="13">
        <f t="shared" si="2"/>
        <v>7</v>
      </c>
      <c r="P13" s="62"/>
      <c r="Q13" s="143"/>
      <c r="R13" s="30">
        <f t="shared" si="3"/>
        <v>7</v>
      </c>
      <c r="S13" s="62"/>
      <c r="T13" s="143"/>
      <c r="U13" s="13">
        <f t="shared" si="4"/>
        <v>7</v>
      </c>
      <c r="V13" s="62"/>
      <c r="W13" s="143">
        <f>1+4.75+1</f>
        <v>6.75</v>
      </c>
      <c r="X13" s="13">
        <f t="shared" si="5"/>
        <v>0.25</v>
      </c>
      <c r="Y13" s="62">
        <v>6</v>
      </c>
      <c r="Z13" s="143"/>
      <c r="AA13" s="13">
        <f t="shared" si="27"/>
        <v>6.25</v>
      </c>
      <c r="AB13" s="62"/>
      <c r="AC13" s="143">
        <f>0.25+0.5</f>
        <v>0.75</v>
      </c>
      <c r="AD13" s="13">
        <f t="shared" si="28"/>
        <v>5.5</v>
      </c>
      <c r="AE13" s="62"/>
      <c r="AF13" s="143">
        <v>1</v>
      </c>
      <c r="AG13" s="13">
        <f t="shared" si="29"/>
        <v>4.5</v>
      </c>
      <c r="AH13" s="62">
        <v>6</v>
      </c>
      <c r="AI13" s="143">
        <f>1.5+2+1.75</f>
        <v>5.25</v>
      </c>
      <c r="AJ13" s="13">
        <f t="shared" si="30"/>
        <v>5.25</v>
      </c>
      <c r="AK13" s="62"/>
      <c r="AL13" s="143"/>
      <c r="AM13" s="13">
        <f t="shared" si="6"/>
        <v>5.25</v>
      </c>
      <c r="AN13" s="62"/>
      <c r="AO13" s="143"/>
      <c r="AP13" s="13">
        <f t="shared" si="7"/>
        <v>5.25</v>
      </c>
      <c r="AQ13" s="62"/>
      <c r="AR13" s="143">
        <f>1.25+1.25</f>
        <v>2.5</v>
      </c>
      <c r="AS13" s="13">
        <f t="shared" si="8"/>
        <v>2.75</v>
      </c>
      <c r="AT13" s="62"/>
      <c r="AU13" s="143"/>
      <c r="AV13" s="13">
        <f t="shared" si="9"/>
        <v>2.75</v>
      </c>
      <c r="AW13" s="62">
        <v>6</v>
      </c>
      <c r="AX13" s="143"/>
      <c r="AY13" s="13">
        <f t="shared" si="10"/>
        <v>8.75</v>
      </c>
      <c r="AZ13" s="62"/>
      <c r="BA13" s="143"/>
      <c r="BB13" s="13">
        <f t="shared" si="11"/>
        <v>8.75</v>
      </c>
      <c r="BC13" s="62"/>
      <c r="BD13" s="143">
        <f>1+3+1</f>
        <v>5</v>
      </c>
      <c r="BE13" s="13">
        <f t="shared" si="12"/>
        <v>3.75</v>
      </c>
      <c r="BF13" s="62"/>
      <c r="BG13" s="143"/>
      <c r="BH13" s="13">
        <f t="shared" si="13"/>
        <v>3.75</v>
      </c>
      <c r="BI13" s="62">
        <v>6</v>
      </c>
      <c r="BJ13" s="143"/>
      <c r="BK13" s="13">
        <f t="shared" si="14"/>
        <v>9.75</v>
      </c>
      <c r="BL13" s="62">
        <v>6</v>
      </c>
      <c r="BM13" s="143">
        <f>5+1</f>
        <v>6</v>
      </c>
      <c r="BN13" s="13">
        <f t="shared" si="15"/>
        <v>9.75</v>
      </c>
      <c r="BO13" s="62"/>
      <c r="BP13" s="143">
        <f>1.25+1</f>
        <v>2.25</v>
      </c>
      <c r="BQ13" s="13">
        <f t="shared" si="16"/>
        <v>7.5</v>
      </c>
      <c r="BR13" s="62"/>
      <c r="BS13" s="143">
        <f>1</f>
        <v>1</v>
      </c>
      <c r="BT13" s="13">
        <f t="shared" si="17"/>
        <v>6.5</v>
      </c>
      <c r="BU13" s="62">
        <v>6</v>
      </c>
      <c r="BV13" s="143">
        <f>0.5</f>
        <v>0.5</v>
      </c>
      <c r="BW13" s="13">
        <f t="shared" si="18"/>
        <v>12</v>
      </c>
      <c r="BX13" s="62"/>
      <c r="BY13" s="143">
        <f>1+1</f>
        <v>2</v>
      </c>
      <c r="BZ13" s="13">
        <f t="shared" si="19"/>
        <v>10</v>
      </c>
      <c r="CA13" s="62"/>
      <c r="CB13" s="143"/>
      <c r="CC13" s="13">
        <f t="shared" si="20"/>
        <v>10</v>
      </c>
      <c r="CD13" s="62">
        <v>5</v>
      </c>
      <c r="CE13" s="143">
        <f>1.5+1.25+1.25</f>
        <v>4</v>
      </c>
      <c r="CF13" s="13">
        <f t="shared" si="21"/>
        <v>11</v>
      </c>
      <c r="CG13" s="62">
        <v>5</v>
      </c>
      <c r="CH13" s="143">
        <f>3+1.75+1.75+1.5+1</f>
        <v>9</v>
      </c>
      <c r="CI13" s="13">
        <f>CF13+CG13-CH13</f>
        <v>7</v>
      </c>
      <c r="CJ13" s="62"/>
      <c r="CK13" s="143"/>
      <c r="CL13" s="13">
        <f>CI13+CJ13-CK13</f>
        <v>7</v>
      </c>
      <c r="CM13" s="62"/>
      <c r="CN13" s="143">
        <f>1.5+1</f>
        <v>2.5</v>
      </c>
      <c r="CO13" s="13">
        <f t="shared" si="22"/>
        <v>4.5</v>
      </c>
      <c r="CP13" s="61"/>
      <c r="CQ13" s="143"/>
      <c r="CR13" s="13">
        <f t="shared" si="33"/>
        <v>4.5</v>
      </c>
      <c r="CS13" s="62"/>
      <c r="CT13" s="143">
        <f>1</f>
        <v>1</v>
      </c>
      <c r="CU13" s="14">
        <f t="shared" si="23"/>
        <v>3.5</v>
      </c>
      <c r="CV13" s="5">
        <f t="shared" si="24"/>
        <v>52</v>
      </c>
      <c r="CW13" s="4">
        <f t="shared" si="24"/>
        <v>54.5</v>
      </c>
      <c r="CX13" s="6">
        <f t="shared" si="25"/>
        <v>3.5</v>
      </c>
      <c r="CY13" s="162">
        <v>400</v>
      </c>
      <c r="CZ13" s="171">
        <f t="shared" si="26"/>
        <v>1400</v>
      </c>
      <c r="DB13" s="2">
        <f t="shared" si="34"/>
        <v>3.5</v>
      </c>
      <c r="DC13" s="61"/>
      <c r="DD13" s="143"/>
      <c r="DE13" s="149">
        <f t="shared" si="35"/>
        <v>3.5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7.5</v>
      </c>
      <c r="G14" s="62"/>
      <c r="H14" s="143"/>
      <c r="I14" s="13">
        <f t="shared" si="0"/>
        <v>7.5</v>
      </c>
      <c r="J14" s="62">
        <v>8</v>
      </c>
      <c r="K14" s="143">
        <f>2+2+0.5</f>
        <v>4.5</v>
      </c>
      <c r="L14" s="13">
        <f t="shared" si="1"/>
        <v>11</v>
      </c>
      <c r="M14" s="62"/>
      <c r="N14" s="143">
        <f>1+1</f>
        <v>2</v>
      </c>
      <c r="O14" s="13">
        <f t="shared" si="2"/>
        <v>9</v>
      </c>
      <c r="P14" s="62"/>
      <c r="Q14" s="143"/>
      <c r="R14" s="30">
        <f t="shared" si="3"/>
        <v>9</v>
      </c>
      <c r="S14" s="62"/>
      <c r="T14" s="143"/>
      <c r="U14" s="13">
        <f t="shared" si="4"/>
        <v>9</v>
      </c>
      <c r="V14" s="62"/>
      <c r="W14" s="143">
        <f>1+2+1</f>
        <v>4</v>
      </c>
      <c r="X14" s="13">
        <f t="shared" si="5"/>
        <v>5</v>
      </c>
      <c r="Y14" s="62">
        <v>8</v>
      </c>
      <c r="Z14" s="143">
        <f>2+3</f>
        <v>5</v>
      </c>
      <c r="AA14" s="13">
        <f t="shared" si="27"/>
        <v>8</v>
      </c>
      <c r="AB14" s="62"/>
      <c r="AC14" s="143">
        <f>0.5+0.5</f>
        <v>1</v>
      </c>
      <c r="AD14" s="13">
        <f t="shared" si="28"/>
        <v>7</v>
      </c>
      <c r="AE14" s="62">
        <v>24</v>
      </c>
      <c r="AF14" s="143">
        <f>5+3+2+1</f>
        <v>11</v>
      </c>
      <c r="AG14" s="13">
        <f t="shared" si="29"/>
        <v>20</v>
      </c>
      <c r="AH14" s="62">
        <v>8</v>
      </c>
      <c r="AI14" s="143">
        <f>4+1.5+2+2.5</f>
        <v>10</v>
      </c>
      <c r="AJ14" s="13">
        <f t="shared" si="30"/>
        <v>18</v>
      </c>
      <c r="AK14" s="62"/>
      <c r="AL14" s="143"/>
      <c r="AM14" s="13">
        <f t="shared" si="6"/>
        <v>18</v>
      </c>
      <c r="AN14" s="62">
        <v>16</v>
      </c>
      <c r="AO14" s="143">
        <f>7+1.5+1</f>
        <v>9.5</v>
      </c>
      <c r="AP14" s="13">
        <f t="shared" si="7"/>
        <v>24.5</v>
      </c>
      <c r="AQ14" s="62">
        <v>24</v>
      </c>
      <c r="AR14" s="143">
        <f>12+3+2.5+2+1+1+2+1+1+1</f>
        <v>26.5</v>
      </c>
      <c r="AS14" s="13">
        <f t="shared" si="8"/>
        <v>22</v>
      </c>
      <c r="AT14" s="62"/>
      <c r="AU14" s="143"/>
      <c r="AV14" s="13">
        <f t="shared" si="9"/>
        <v>22</v>
      </c>
      <c r="AW14" s="62">
        <v>16</v>
      </c>
      <c r="AX14" s="143">
        <f>11+0.5+0.5+0.5+1</f>
        <v>13.5</v>
      </c>
      <c r="AY14" s="180">
        <f t="shared" si="10"/>
        <v>24.5</v>
      </c>
      <c r="AZ14" s="62">
        <v>8</v>
      </c>
      <c r="BA14" s="143">
        <f>6+2+1+1+2</f>
        <v>12</v>
      </c>
      <c r="BB14" s="13">
        <f t="shared" si="11"/>
        <v>20.5</v>
      </c>
      <c r="BC14" s="62">
        <f>-3+32</f>
        <v>29</v>
      </c>
      <c r="BD14" s="143">
        <f>4+2+1+13+1+1.5+1.5+2.5+1+1</f>
        <v>28.5</v>
      </c>
      <c r="BE14" s="13">
        <f t="shared" si="12"/>
        <v>21</v>
      </c>
      <c r="BF14" s="62"/>
      <c r="BG14" s="143"/>
      <c r="BH14" s="13">
        <f t="shared" si="13"/>
        <v>21</v>
      </c>
      <c r="BI14" s="62">
        <v>8</v>
      </c>
      <c r="BJ14" s="143">
        <f>6</f>
        <v>6</v>
      </c>
      <c r="BK14" s="13">
        <f t="shared" si="14"/>
        <v>23</v>
      </c>
      <c r="BL14" s="62">
        <v>24</v>
      </c>
      <c r="BM14" s="143">
        <f>1+1+2+12</f>
        <v>16</v>
      </c>
      <c r="BN14" s="13">
        <f t="shared" si="15"/>
        <v>31</v>
      </c>
      <c r="BO14" s="62"/>
      <c r="BP14" s="143">
        <f>1+1+1.5</f>
        <v>3.5</v>
      </c>
      <c r="BQ14" s="13">
        <f t="shared" si="16"/>
        <v>27.5</v>
      </c>
      <c r="BR14" s="62">
        <v>16</v>
      </c>
      <c r="BS14" s="143">
        <f>2+1.5+9+3+1</f>
        <v>16.5</v>
      </c>
      <c r="BT14" s="13">
        <f t="shared" si="17"/>
        <v>27</v>
      </c>
      <c r="BU14" s="62">
        <v>16</v>
      </c>
      <c r="BV14" s="143">
        <f>0.5+0.5+0.5+5</f>
        <v>6.5</v>
      </c>
      <c r="BW14" s="13">
        <f t="shared" si="18"/>
        <v>36.5</v>
      </c>
      <c r="BX14" s="62">
        <v>8</v>
      </c>
      <c r="BY14" s="143">
        <f>2+1.5+3+11</f>
        <v>17.5</v>
      </c>
      <c r="BZ14" s="13">
        <f t="shared" si="19"/>
        <v>27</v>
      </c>
      <c r="CA14" s="62"/>
      <c r="CB14" s="143"/>
      <c r="CC14" s="13">
        <f t="shared" si="20"/>
        <v>27</v>
      </c>
      <c r="CD14" s="62">
        <v>16</v>
      </c>
      <c r="CE14" s="143">
        <f>2+1.5+2.5+3+10</f>
        <v>19</v>
      </c>
      <c r="CF14" s="13">
        <f t="shared" si="21"/>
        <v>24</v>
      </c>
      <c r="CG14" s="62">
        <v>32</v>
      </c>
      <c r="CH14" s="143">
        <f>1+1+2+15+3+2+1+1+1</f>
        <v>27</v>
      </c>
      <c r="CI14" s="13">
        <f t="shared" si="31"/>
        <v>29</v>
      </c>
      <c r="CJ14" s="62"/>
      <c r="CK14" s="143">
        <f>2.5+2+1.5</f>
        <v>6</v>
      </c>
      <c r="CL14" s="13">
        <f t="shared" si="32"/>
        <v>23</v>
      </c>
      <c r="CM14" s="62">
        <v>16</v>
      </c>
      <c r="CN14" s="143">
        <f>2+2+1+1+12</f>
        <v>18</v>
      </c>
      <c r="CO14" s="13">
        <f t="shared" si="22"/>
        <v>21</v>
      </c>
      <c r="CP14" s="61">
        <v>16</v>
      </c>
      <c r="CQ14" s="143">
        <f>0.5+0.5+7</f>
        <v>8</v>
      </c>
      <c r="CR14" s="13">
        <f t="shared" si="33"/>
        <v>29</v>
      </c>
      <c r="CS14" s="62">
        <v>16</v>
      </c>
      <c r="CT14" s="143">
        <f>1+1+2+17</f>
        <v>21</v>
      </c>
      <c r="CU14" s="14">
        <f t="shared" si="23"/>
        <v>24</v>
      </c>
      <c r="CV14" s="5">
        <f t="shared" si="24"/>
        <v>309</v>
      </c>
      <c r="CW14" s="4">
        <f t="shared" si="24"/>
        <v>292.5</v>
      </c>
      <c r="CX14" s="6">
        <f t="shared" si="25"/>
        <v>24</v>
      </c>
      <c r="CY14" s="162">
        <v>168</v>
      </c>
      <c r="CZ14" s="171">
        <f t="shared" si="26"/>
        <v>4032</v>
      </c>
      <c r="DB14" s="2">
        <f t="shared" si="34"/>
        <v>24</v>
      </c>
      <c r="DC14" s="61"/>
      <c r="DD14" s="143"/>
      <c r="DE14" s="149">
        <f t="shared" si="35"/>
        <v>24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60</v>
      </c>
      <c r="G15" s="62"/>
      <c r="H15" s="143">
        <f>4</f>
        <v>4</v>
      </c>
      <c r="I15" s="13">
        <f t="shared" si="0"/>
        <v>56</v>
      </c>
      <c r="J15" s="62">
        <v>45</v>
      </c>
      <c r="K15" s="143">
        <f>1+30</f>
        <v>31</v>
      </c>
      <c r="L15" s="13">
        <f t="shared" si="1"/>
        <v>70</v>
      </c>
      <c r="M15" s="62"/>
      <c r="N15" s="143">
        <f>10+11+7+4</f>
        <v>32</v>
      </c>
      <c r="O15" s="13">
        <f t="shared" si="2"/>
        <v>38</v>
      </c>
      <c r="P15" s="62"/>
      <c r="Q15" s="143"/>
      <c r="R15" s="30">
        <f t="shared" si="3"/>
        <v>38</v>
      </c>
      <c r="S15" s="62"/>
      <c r="T15" s="143"/>
      <c r="U15" s="13">
        <f t="shared" si="4"/>
        <v>38</v>
      </c>
      <c r="V15" s="62"/>
      <c r="W15" s="143">
        <f>10+4+10+7</f>
        <v>31</v>
      </c>
      <c r="X15" s="13">
        <f t="shared" si="5"/>
        <v>7</v>
      </c>
      <c r="Y15" s="62">
        <v>90</v>
      </c>
      <c r="Z15" s="143">
        <f>7+9+7+7</f>
        <v>30</v>
      </c>
      <c r="AA15" s="13">
        <f t="shared" si="27"/>
        <v>67</v>
      </c>
      <c r="AB15" s="62">
        <v>45</v>
      </c>
      <c r="AC15" s="143">
        <f>10+15+2+2</f>
        <v>29</v>
      </c>
      <c r="AD15" s="13">
        <f t="shared" si="28"/>
        <v>83</v>
      </c>
      <c r="AE15" s="62"/>
      <c r="AF15" s="143">
        <f>4+30+8</f>
        <v>42</v>
      </c>
      <c r="AG15" s="13">
        <f t="shared" si="29"/>
        <v>41</v>
      </c>
      <c r="AH15" s="62">
        <v>45</v>
      </c>
      <c r="AI15" s="143">
        <f>10+9+6+13+5+7+6</f>
        <v>56</v>
      </c>
      <c r="AJ15" s="13">
        <f t="shared" si="30"/>
        <v>30</v>
      </c>
      <c r="AK15" s="62"/>
      <c r="AL15" s="143"/>
      <c r="AM15" s="13">
        <f t="shared" si="6"/>
        <v>30</v>
      </c>
      <c r="AN15" s="62">
        <v>45</v>
      </c>
      <c r="AO15" s="143">
        <f>20</f>
        <v>20</v>
      </c>
      <c r="AP15" s="13">
        <f t="shared" si="7"/>
        <v>55</v>
      </c>
      <c r="AQ15" s="62">
        <f>45+20</f>
        <v>65</v>
      </c>
      <c r="AR15" s="143">
        <f>8+7+20+13+8+7+9+13</f>
        <v>85</v>
      </c>
      <c r="AS15" s="13">
        <f t="shared" si="8"/>
        <v>35</v>
      </c>
      <c r="AT15" s="62"/>
      <c r="AU15" s="143"/>
      <c r="AV15" s="13">
        <f t="shared" si="9"/>
        <v>35</v>
      </c>
      <c r="AW15" s="62"/>
      <c r="AX15" s="143">
        <f>2+2+1</f>
        <v>5</v>
      </c>
      <c r="AY15" s="13">
        <f t="shared" si="10"/>
        <v>30</v>
      </c>
      <c r="AZ15" s="62">
        <v>45</v>
      </c>
      <c r="BA15" s="143">
        <f>4+7</f>
        <v>11</v>
      </c>
      <c r="BB15" s="13">
        <f t="shared" si="11"/>
        <v>64</v>
      </c>
      <c r="BC15" s="62">
        <v>45</v>
      </c>
      <c r="BD15" s="143">
        <f>15+9+8+7+12+7</f>
        <v>58</v>
      </c>
      <c r="BE15" s="13">
        <f t="shared" si="12"/>
        <v>51</v>
      </c>
      <c r="BF15" s="62"/>
      <c r="BG15" s="143"/>
      <c r="BH15" s="13">
        <f t="shared" si="13"/>
        <v>51</v>
      </c>
      <c r="BI15" s="62">
        <f>45+15</f>
        <v>60</v>
      </c>
      <c r="BJ15" s="143"/>
      <c r="BK15" s="13">
        <f t="shared" si="14"/>
        <v>111</v>
      </c>
      <c r="BL15" s="62">
        <v>45</v>
      </c>
      <c r="BM15" s="143">
        <f>8+8+7+6+8+10</f>
        <v>47</v>
      </c>
      <c r="BN15" s="13">
        <f t="shared" si="15"/>
        <v>109</v>
      </c>
      <c r="BO15" s="62"/>
      <c r="BP15" s="143">
        <f>13+7</f>
        <v>20</v>
      </c>
      <c r="BQ15" s="13">
        <f t="shared" si="16"/>
        <v>89</v>
      </c>
      <c r="BR15" s="62">
        <f>45+10</f>
        <v>55</v>
      </c>
      <c r="BS15" s="143">
        <f>20+4+9+7+7</f>
        <v>47</v>
      </c>
      <c r="BT15" s="13">
        <f t="shared" si="17"/>
        <v>97</v>
      </c>
      <c r="BU15" s="62">
        <f>45</f>
        <v>45</v>
      </c>
      <c r="BV15" s="143">
        <f>15+2+2+3+2</f>
        <v>24</v>
      </c>
      <c r="BW15" s="13">
        <f t="shared" si="18"/>
        <v>118</v>
      </c>
      <c r="BX15" s="62"/>
      <c r="BY15" s="143">
        <f>8+7+20+3</f>
        <v>38</v>
      </c>
      <c r="BZ15" s="13">
        <f t="shared" si="19"/>
        <v>80</v>
      </c>
      <c r="CA15" s="62"/>
      <c r="CB15" s="143"/>
      <c r="CC15" s="13">
        <f t="shared" si="20"/>
        <v>80</v>
      </c>
      <c r="CD15" s="62"/>
      <c r="CE15" s="143">
        <f>7+13+2</f>
        <v>22</v>
      </c>
      <c r="CF15" s="13">
        <f t="shared" si="21"/>
        <v>58</v>
      </c>
      <c r="CG15" s="62">
        <v>45</v>
      </c>
      <c r="CH15" s="143">
        <f>30+1+8+4</f>
        <v>43</v>
      </c>
      <c r="CI15" s="13">
        <f t="shared" si="31"/>
        <v>60</v>
      </c>
      <c r="CJ15" s="62"/>
      <c r="CK15" s="143"/>
      <c r="CL15" s="13">
        <f t="shared" si="32"/>
        <v>60</v>
      </c>
      <c r="CM15" s="62">
        <v>45</v>
      </c>
      <c r="CN15" s="143">
        <f>13+9+8+7+2</f>
        <v>39</v>
      </c>
      <c r="CO15" s="13">
        <f t="shared" si="22"/>
        <v>66</v>
      </c>
      <c r="CP15" s="61">
        <v>45</v>
      </c>
      <c r="CQ15" s="143">
        <f>2+1+1+1</f>
        <v>5</v>
      </c>
      <c r="CR15" s="13">
        <f t="shared" si="33"/>
        <v>106</v>
      </c>
      <c r="CS15" s="62">
        <v>20</v>
      </c>
      <c r="CT15" s="143">
        <f>2+11+30</f>
        <v>43</v>
      </c>
      <c r="CU15" s="14">
        <f t="shared" si="23"/>
        <v>83</v>
      </c>
      <c r="CV15" s="5">
        <f t="shared" si="24"/>
        <v>785</v>
      </c>
      <c r="CW15" s="4">
        <f t="shared" si="24"/>
        <v>762</v>
      </c>
      <c r="CX15" s="6">
        <f t="shared" si="25"/>
        <v>83</v>
      </c>
      <c r="CY15" s="162">
        <v>49</v>
      </c>
      <c r="CZ15" s="171">
        <f t="shared" si="26"/>
        <v>4067</v>
      </c>
      <c r="DB15" s="2">
        <f t="shared" si="34"/>
        <v>83</v>
      </c>
      <c r="DC15" s="61"/>
      <c r="DD15" s="143"/>
      <c r="DE15" s="149">
        <f t="shared" si="35"/>
        <v>83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15</v>
      </c>
      <c r="E16" s="34" t="s">
        <v>41</v>
      </c>
      <c r="F16" s="14">
        <v>30</v>
      </c>
      <c r="G16" s="176">
        <v>14</v>
      </c>
      <c r="H16" s="143">
        <f>30</f>
        <v>30</v>
      </c>
      <c r="I16" s="13">
        <f t="shared" si="0"/>
        <v>14</v>
      </c>
      <c r="J16" s="176">
        <v>40</v>
      </c>
      <c r="K16" s="143">
        <f>10</f>
        <v>10</v>
      </c>
      <c r="L16" s="13">
        <f t="shared" si="1"/>
        <v>44</v>
      </c>
      <c r="M16" s="176">
        <v>35</v>
      </c>
      <c r="N16" s="143">
        <f>24</f>
        <v>24</v>
      </c>
      <c r="O16" s="13">
        <f t="shared" si="2"/>
        <v>55</v>
      </c>
      <c r="P16" s="176"/>
      <c r="Q16" s="143"/>
      <c r="R16" s="30">
        <f t="shared" si="3"/>
        <v>55</v>
      </c>
      <c r="S16" s="176"/>
      <c r="T16" s="143">
        <f>10</f>
        <v>10</v>
      </c>
      <c r="U16" s="13">
        <f t="shared" si="4"/>
        <v>45</v>
      </c>
      <c r="V16" s="176"/>
      <c r="W16" s="143">
        <f>26+4+5+4+2</f>
        <v>41</v>
      </c>
      <c r="X16" s="13">
        <f t="shared" si="5"/>
        <v>4</v>
      </c>
      <c r="Y16" s="176">
        <v>30</v>
      </c>
      <c r="Z16" s="143">
        <f>4+4</f>
        <v>8</v>
      </c>
      <c r="AA16" s="13">
        <f t="shared" si="27"/>
        <v>26</v>
      </c>
      <c r="AB16" s="176"/>
      <c r="AC16" s="143">
        <f>8+1+1+1+1</f>
        <v>12</v>
      </c>
      <c r="AD16" s="13">
        <f t="shared" si="28"/>
        <v>14</v>
      </c>
      <c r="AE16" s="176">
        <v>22</v>
      </c>
      <c r="AF16" s="143">
        <v>16</v>
      </c>
      <c r="AG16" s="13">
        <f t="shared" si="29"/>
        <v>20</v>
      </c>
      <c r="AH16" s="176">
        <f>-2+46</f>
        <v>44</v>
      </c>
      <c r="AI16" s="143">
        <f>20+15+9</f>
        <v>44</v>
      </c>
      <c r="AJ16" s="13">
        <f t="shared" si="30"/>
        <v>20</v>
      </c>
      <c r="AK16" s="176"/>
      <c r="AL16" s="143"/>
      <c r="AM16" s="13">
        <f t="shared" si="6"/>
        <v>20</v>
      </c>
      <c r="AN16" s="176">
        <v>20</v>
      </c>
      <c r="AO16" s="143">
        <f>6+4+6+4+5+5</f>
        <v>30</v>
      </c>
      <c r="AP16" s="13">
        <f t="shared" si="7"/>
        <v>10</v>
      </c>
      <c r="AQ16" s="176">
        <v>30</v>
      </c>
      <c r="AR16" s="143">
        <f>10+5+5+4</f>
        <v>24</v>
      </c>
      <c r="AS16" s="13">
        <f t="shared" si="8"/>
        <v>16</v>
      </c>
      <c r="AT16" s="176"/>
      <c r="AU16" s="143"/>
      <c r="AV16" s="13">
        <f t="shared" si="9"/>
        <v>16</v>
      </c>
      <c r="AW16" s="176"/>
      <c r="AX16" s="143">
        <f>6+1+1</f>
        <v>8</v>
      </c>
      <c r="AY16" s="13">
        <f t="shared" si="10"/>
        <v>8</v>
      </c>
      <c r="AZ16" s="176">
        <v>28</v>
      </c>
      <c r="BA16" s="143">
        <f>6</f>
        <v>6</v>
      </c>
      <c r="BB16" s="13">
        <f t="shared" si="11"/>
        <v>30</v>
      </c>
      <c r="BC16" s="176">
        <v>7</v>
      </c>
      <c r="BD16" s="143">
        <f>12+5</f>
        <v>17</v>
      </c>
      <c r="BE16" s="13">
        <f t="shared" si="12"/>
        <v>20</v>
      </c>
      <c r="BF16" s="176"/>
      <c r="BG16" s="143"/>
      <c r="BH16" s="13">
        <f t="shared" si="13"/>
        <v>20</v>
      </c>
      <c r="BI16" s="176">
        <v>26</v>
      </c>
      <c r="BJ16" s="143">
        <f>4</f>
        <v>4</v>
      </c>
      <c r="BK16" s="13">
        <f t="shared" si="14"/>
        <v>42</v>
      </c>
      <c r="BL16" s="176">
        <v>29</v>
      </c>
      <c r="BM16" s="143">
        <f>22+8</f>
        <v>30</v>
      </c>
      <c r="BN16" s="13">
        <f t="shared" si="15"/>
        <v>41</v>
      </c>
      <c r="BO16" s="176"/>
      <c r="BP16" s="143">
        <f>5+5+5</f>
        <v>15</v>
      </c>
      <c r="BQ16" s="13">
        <f t="shared" si="16"/>
        <v>26</v>
      </c>
      <c r="BR16" s="176">
        <v>30</v>
      </c>
      <c r="BS16" s="143">
        <f>3+4+14+4</f>
        <v>25</v>
      </c>
      <c r="BT16" s="13">
        <f t="shared" si="17"/>
        <v>31</v>
      </c>
      <c r="BU16" s="176">
        <v>50</v>
      </c>
      <c r="BV16" s="143">
        <f>1+1+1+1+1+26</f>
        <v>31</v>
      </c>
      <c r="BW16" s="13">
        <f t="shared" si="18"/>
        <v>50</v>
      </c>
      <c r="BX16" s="176"/>
      <c r="BY16" s="143">
        <f>2+10</f>
        <v>12</v>
      </c>
      <c r="BZ16" s="13">
        <f t="shared" si="19"/>
        <v>38</v>
      </c>
      <c r="CA16" s="176"/>
      <c r="CB16" s="143"/>
      <c r="CC16" s="13">
        <f t="shared" si="20"/>
        <v>38</v>
      </c>
      <c r="CD16" s="176">
        <v>30</v>
      </c>
      <c r="CE16" s="143">
        <f>15+2+3+8</f>
        <v>28</v>
      </c>
      <c r="CF16" s="13">
        <f t="shared" si="21"/>
        <v>40</v>
      </c>
      <c r="CG16" s="176">
        <v>40</v>
      </c>
      <c r="CH16" s="143">
        <f>4+6+5+3+14+5+3</f>
        <v>40</v>
      </c>
      <c r="CI16" s="13">
        <f t="shared" si="31"/>
        <v>40</v>
      </c>
      <c r="CJ16" s="176"/>
      <c r="CK16" s="143">
        <f>4+5+4</f>
        <v>13</v>
      </c>
      <c r="CL16" s="13">
        <f t="shared" si="32"/>
        <v>27</v>
      </c>
      <c r="CM16" s="176">
        <v>3</v>
      </c>
      <c r="CN16" s="143">
        <f>3+4+8</f>
        <v>15</v>
      </c>
      <c r="CO16" s="13">
        <f t="shared" si="22"/>
        <v>15</v>
      </c>
      <c r="CP16" s="63">
        <v>37</v>
      </c>
      <c r="CQ16" s="143">
        <f>2</f>
        <v>2</v>
      </c>
      <c r="CR16" s="13">
        <f t="shared" si="33"/>
        <v>50</v>
      </c>
      <c r="CS16" s="176"/>
      <c r="CT16" s="143">
        <f>4+6</f>
        <v>10</v>
      </c>
      <c r="CU16" s="14">
        <f t="shared" si="23"/>
        <v>40</v>
      </c>
      <c r="CV16" s="5">
        <f t="shared" si="24"/>
        <v>515</v>
      </c>
      <c r="CW16" s="4">
        <f t="shared" si="24"/>
        <v>505</v>
      </c>
      <c r="CX16" s="6">
        <f t="shared" si="25"/>
        <v>40</v>
      </c>
      <c r="CY16" s="162">
        <v>85</v>
      </c>
      <c r="CZ16" s="171">
        <f t="shared" si="26"/>
        <v>3400</v>
      </c>
      <c r="DB16" s="2">
        <f t="shared" si="34"/>
        <v>40</v>
      </c>
      <c r="DC16" s="63"/>
      <c r="DD16" s="143"/>
      <c r="DE16" s="149">
        <f t="shared" si="35"/>
        <v>40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46</v>
      </c>
      <c r="G17" s="62">
        <f>15+40</f>
        <v>55</v>
      </c>
      <c r="H17" s="143">
        <f>4+41</f>
        <v>45</v>
      </c>
      <c r="I17" s="13">
        <f t="shared" si="0"/>
        <v>56</v>
      </c>
      <c r="J17" s="62">
        <f>15+40</f>
        <v>55</v>
      </c>
      <c r="K17" s="143">
        <f>36</f>
        <v>36</v>
      </c>
      <c r="L17" s="13">
        <f t="shared" si="1"/>
        <v>75</v>
      </c>
      <c r="M17" s="62">
        <f>15+40</f>
        <v>55</v>
      </c>
      <c r="N17" s="143">
        <f>2+66</f>
        <v>68</v>
      </c>
      <c r="O17" s="13">
        <f t="shared" si="2"/>
        <v>62</v>
      </c>
      <c r="P17" s="62">
        <v>40</v>
      </c>
      <c r="Q17" s="143"/>
      <c r="R17" s="30">
        <f t="shared" si="3"/>
        <v>102</v>
      </c>
      <c r="S17" s="62"/>
      <c r="T17" s="143">
        <f>5+33</f>
        <v>38</v>
      </c>
      <c r="U17" s="13">
        <f t="shared" si="4"/>
        <v>64</v>
      </c>
      <c r="V17" s="62"/>
      <c r="W17" s="143">
        <f>4+47</f>
        <v>51</v>
      </c>
      <c r="X17" s="13">
        <f t="shared" si="5"/>
        <v>13</v>
      </c>
      <c r="Y17" s="62">
        <f>15+20</f>
        <v>35</v>
      </c>
      <c r="Z17" s="143"/>
      <c r="AA17" s="13">
        <f t="shared" si="27"/>
        <v>48</v>
      </c>
      <c r="AB17" s="62">
        <v>15</v>
      </c>
      <c r="AC17" s="143">
        <f>4+9</f>
        <v>13</v>
      </c>
      <c r="AD17" s="13">
        <f t="shared" si="28"/>
        <v>50</v>
      </c>
      <c r="AE17" s="62">
        <v>15</v>
      </c>
      <c r="AF17" s="143">
        <f>5+16</f>
        <v>21</v>
      </c>
      <c r="AG17" s="13">
        <f t="shared" si="29"/>
        <v>44</v>
      </c>
      <c r="AH17" s="62">
        <v>15</v>
      </c>
      <c r="AI17" s="143">
        <f>4+26+1</f>
        <v>31</v>
      </c>
      <c r="AJ17" s="13">
        <f t="shared" si="30"/>
        <v>28</v>
      </c>
      <c r="AK17" s="62"/>
      <c r="AL17" s="143"/>
      <c r="AM17" s="13">
        <f t="shared" si="6"/>
        <v>28</v>
      </c>
      <c r="AN17" s="62">
        <f>15+20</f>
        <v>35</v>
      </c>
      <c r="AO17" s="143">
        <f>5+16</f>
        <v>21</v>
      </c>
      <c r="AP17" s="13">
        <f t="shared" si="7"/>
        <v>42</v>
      </c>
      <c r="AQ17" s="62"/>
      <c r="AR17" s="143">
        <f>2+30</f>
        <v>32</v>
      </c>
      <c r="AS17" s="13">
        <f t="shared" si="8"/>
        <v>10</v>
      </c>
      <c r="AT17" s="62"/>
      <c r="AU17" s="143"/>
      <c r="AV17" s="13">
        <f t="shared" si="9"/>
        <v>10</v>
      </c>
      <c r="AW17" s="62">
        <f>-4+15+20</f>
        <v>31</v>
      </c>
      <c r="AX17" s="143">
        <f>3+7</f>
        <v>10</v>
      </c>
      <c r="AY17" s="13">
        <f t="shared" si="10"/>
        <v>31</v>
      </c>
      <c r="AZ17" s="62">
        <f>-1+15+20</f>
        <v>34</v>
      </c>
      <c r="BA17" s="143">
        <v>31</v>
      </c>
      <c r="BB17" s="13">
        <f t="shared" si="11"/>
        <v>34</v>
      </c>
      <c r="BC17" s="62">
        <f>-31+15+40</f>
        <v>24</v>
      </c>
      <c r="BD17" s="143">
        <f>9+25</f>
        <v>34</v>
      </c>
      <c r="BE17" s="13">
        <f t="shared" si="12"/>
        <v>24</v>
      </c>
      <c r="BF17" s="62"/>
      <c r="BG17" s="143"/>
      <c r="BH17" s="13">
        <f t="shared" si="13"/>
        <v>24</v>
      </c>
      <c r="BI17" s="62">
        <f>15+20</f>
        <v>35</v>
      </c>
      <c r="BJ17" s="143">
        <f>6+18</f>
        <v>24</v>
      </c>
      <c r="BK17" s="13">
        <f t="shared" si="14"/>
        <v>35</v>
      </c>
      <c r="BL17" s="62">
        <v>15</v>
      </c>
      <c r="BM17" s="143">
        <v>29</v>
      </c>
      <c r="BN17" s="13">
        <f t="shared" si="15"/>
        <v>21</v>
      </c>
      <c r="BO17" s="62"/>
      <c r="BP17" s="143"/>
      <c r="BQ17" s="13">
        <f t="shared" si="16"/>
        <v>21</v>
      </c>
      <c r="BR17" s="62">
        <f>15+20</f>
        <v>35</v>
      </c>
      <c r="BS17" s="143">
        <f>3+13</f>
        <v>16</v>
      </c>
      <c r="BT17" s="13">
        <f t="shared" si="17"/>
        <v>40</v>
      </c>
      <c r="BU17" s="62">
        <f>15+18</f>
        <v>33</v>
      </c>
      <c r="BV17" s="143">
        <f>3+28</f>
        <v>31</v>
      </c>
      <c r="BW17" s="13">
        <f t="shared" si="18"/>
        <v>42</v>
      </c>
      <c r="BX17" s="62">
        <f>-1+15+20</f>
        <v>34</v>
      </c>
      <c r="BY17" s="143">
        <f>6+36</f>
        <v>42</v>
      </c>
      <c r="BZ17" s="13">
        <f t="shared" si="19"/>
        <v>34</v>
      </c>
      <c r="CA17" s="62"/>
      <c r="CB17" s="143"/>
      <c r="CC17" s="13">
        <f t="shared" si="20"/>
        <v>34</v>
      </c>
      <c r="CD17" s="62">
        <f>15+20</f>
        <v>35</v>
      </c>
      <c r="CE17" s="143">
        <f>6+23</f>
        <v>29</v>
      </c>
      <c r="CF17" s="13">
        <f t="shared" si="21"/>
        <v>40</v>
      </c>
      <c r="CG17" s="62">
        <f>-8+15+20</f>
        <v>27</v>
      </c>
      <c r="CH17" s="143">
        <f>2+38</f>
        <v>40</v>
      </c>
      <c r="CI17" s="13">
        <f t="shared" si="31"/>
        <v>27</v>
      </c>
      <c r="CJ17" s="62"/>
      <c r="CK17" s="143"/>
      <c r="CL17" s="13">
        <f t="shared" si="32"/>
        <v>27</v>
      </c>
      <c r="CM17" s="62">
        <f>15+20</f>
        <v>35</v>
      </c>
      <c r="CN17" s="143">
        <f>1+25</f>
        <v>26</v>
      </c>
      <c r="CO17" s="13">
        <f t="shared" si="22"/>
        <v>36</v>
      </c>
      <c r="CP17" s="61">
        <v>15</v>
      </c>
      <c r="CQ17" s="143">
        <v>17</v>
      </c>
      <c r="CR17" s="13">
        <f t="shared" si="33"/>
        <v>34</v>
      </c>
      <c r="CS17" s="62">
        <f>-16+15+10</f>
        <v>9</v>
      </c>
      <c r="CT17" s="143">
        <f>5+29</f>
        <v>34</v>
      </c>
      <c r="CU17" s="14">
        <f t="shared" si="23"/>
        <v>9</v>
      </c>
      <c r="CV17" s="5">
        <f t="shared" si="24"/>
        <v>682</v>
      </c>
      <c r="CW17" s="4">
        <f t="shared" si="24"/>
        <v>719</v>
      </c>
      <c r="CX17" s="6">
        <f t="shared" si="25"/>
        <v>9</v>
      </c>
      <c r="CY17" s="162">
        <v>200</v>
      </c>
      <c r="CZ17" s="171">
        <f t="shared" si="26"/>
        <v>1800</v>
      </c>
      <c r="DB17" s="2">
        <f t="shared" si="34"/>
        <v>9</v>
      </c>
      <c r="DC17" s="61"/>
      <c r="DD17" s="143"/>
      <c r="DE17" s="149">
        <f t="shared" si="35"/>
        <v>9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6.4</v>
      </c>
      <c r="G18" s="62"/>
      <c r="H18" s="143"/>
      <c r="I18" s="13">
        <f t="shared" si="0"/>
        <v>6.4</v>
      </c>
      <c r="J18" s="62"/>
      <c r="K18" s="143"/>
      <c r="L18" s="13">
        <f t="shared" si="1"/>
        <v>6.4</v>
      </c>
      <c r="M18" s="62"/>
      <c r="N18" s="143">
        <f>0.5+5.4</f>
        <v>5.9</v>
      </c>
      <c r="O18" s="13">
        <f t="shared" si="2"/>
        <v>0.5</v>
      </c>
      <c r="P18" s="62"/>
      <c r="Q18" s="143"/>
      <c r="R18" s="30">
        <f t="shared" si="3"/>
        <v>0.5</v>
      </c>
      <c r="S18" s="62"/>
      <c r="T18" s="143"/>
      <c r="U18" s="13">
        <f t="shared" si="4"/>
        <v>0.5</v>
      </c>
      <c r="V18" s="62"/>
      <c r="W18" s="143"/>
      <c r="X18" s="13">
        <f t="shared" si="5"/>
        <v>0.5</v>
      </c>
      <c r="Y18" s="62">
        <v>22</v>
      </c>
      <c r="Z18" s="143">
        <f>4.7+5.7+4.4+3.7</f>
        <v>18.5</v>
      </c>
      <c r="AA18" s="13">
        <f t="shared" si="27"/>
        <v>4</v>
      </c>
      <c r="AB18" s="62"/>
      <c r="AC18" s="143">
        <f>1+0.7</f>
        <v>1.7</v>
      </c>
      <c r="AD18" s="13">
        <f t="shared" si="28"/>
        <v>2.2999999999999998</v>
      </c>
      <c r="AE18" s="62"/>
      <c r="AF18" s="143"/>
      <c r="AG18" s="13">
        <f t="shared" si="29"/>
        <v>2.2999999999999998</v>
      </c>
      <c r="AH18" s="62"/>
      <c r="AI18" s="143"/>
      <c r="AJ18" s="13">
        <f t="shared" si="30"/>
        <v>2.2999999999999998</v>
      </c>
      <c r="AK18" s="62"/>
      <c r="AL18" s="143"/>
      <c r="AM18" s="13">
        <f t="shared" si="6"/>
        <v>2.2999999999999998</v>
      </c>
      <c r="AN18" s="62"/>
      <c r="AO18" s="143"/>
      <c r="AP18" s="13">
        <f t="shared" si="7"/>
        <v>2.2999999999999998</v>
      </c>
      <c r="AQ18" s="62">
        <v>4</v>
      </c>
      <c r="AR18" s="143">
        <f>1.2</f>
        <v>1.2</v>
      </c>
      <c r="AS18" s="13">
        <f t="shared" si="8"/>
        <v>5.0999999999999996</v>
      </c>
      <c r="AT18" s="62"/>
      <c r="AU18" s="143"/>
      <c r="AV18" s="13">
        <f t="shared" si="9"/>
        <v>5.0999999999999996</v>
      </c>
      <c r="AW18" s="62"/>
      <c r="AX18" s="143"/>
      <c r="AY18" s="13">
        <f t="shared" si="10"/>
        <v>5.0999999999999996</v>
      </c>
      <c r="AZ18" s="62"/>
      <c r="BA18" s="143"/>
      <c r="BB18" s="13">
        <f t="shared" si="11"/>
        <v>5.0999999999999996</v>
      </c>
      <c r="BC18" s="62"/>
      <c r="BD18" s="143">
        <v>3.2</v>
      </c>
      <c r="BE18" s="13">
        <f t="shared" si="12"/>
        <v>1.8999999999999995</v>
      </c>
      <c r="BF18" s="62"/>
      <c r="BG18" s="143"/>
      <c r="BH18" s="13">
        <f t="shared" si="13"/>
        <v>1.8999999999999995</v>
      </c>
      <c r="BI18" s="62">
        <f>12+2</f>
        <v>14</v>
      </c>
      <c r="BJ18" s="143"/>
      <c r="BK18" s="13">
        <f t="shared" si="14"/>
        <v>15.899999999999999</v>
      </c>
      <c r="BL18" s="62">
        <v>4</v>
      </c>
      <c r="BM18" s="143">
        <f>4.3+5.4+3.2</f>
        <v>12.899999999999999</v>
      </c>
      <c r="BN18" s="13">
        <f t="shared" si="15"/>
        <v>7</v>
      </c>
      <c r="BO18" s="62"/>
      <c r="BP18" s="143"/>
      <c r="BQ18" s="13">
        <f t="shared" si="16"/>
        <v>7</v>
      </c>
      <c r="BR18" s="62"/>
      <c r="BS18" s="143">
        <f>3.6</f>
        <v>3.6</v>
      </c>
      <c r="BT18" s="13">
        <f t="shared" si="17"/>
        <v>3.4</v>
      </c>
      <c r="BU18" s="62"/>
      <c r="BV18" s="143">
        <f>1+0.6</f>
        <v>1.6</v>
      </c>
      <c r="BW18" s="13">
        <f t="shared" si="18"/>
        <v>1.7999999999999998</v>
      </c>
      <c r="BX18" s="62"/>
      <c r="BY18" s="143">
        <v>1.2</v>
      </c>
      <c r="BZ18" s="13">
        <f t="shared" si="19"/>
        <v>0.59999999999999987</v>
      </c>
      <c r="CA18" s="62"/>
      <c r="CB18" s="143"/>
      <c r="CC18" s="13">
        <f t="shared" si="20"/>
        <v>0.59999999999999987</v>
      </c>
      <c r="CD18" s="62"/>
      <c r="CE18" s="143"/>
      <c r="CF18" s="13">
        <f t="shared" si="21"/>
        <v>0.59999999999999987</v>
      </c>
      <c r="CG18" s="62">
        <v>4</v>
      </c>
      <c r="CH18" s="143"/>
      <c r="CI18" s="13">
        <f t="shared" si="31"/>
        <v>4.5999999999999996</v>
      </c>
      <c r="CJ18" s="62"/>
      <c r="CK18" s="143"/>
      <c r="CL18" s="13">
        <f t="shared" si="32"/>
        <v>4.5999999999999996</v>
      </c>
      <c r="CM18" s="62">
        <v>2</v>
      </c>
      <c r="CN18" s="143">
        <f>1.8</f>
        <v>1.8</v>
      </c>
      <c r="CO18" s="13">
        <f t="shared" si="22"/>
        <v>4.8</v>
      </c>
      <c r="CP18" s="61">
        <v>4</v>
      </c>
      <c r="CQ18" s="143"/>
      <c r="CR18" s="13">
        <f t="shared" si="33"/>
        <v>8.8000000000000007</v>
      </c>
      <c r="CS18" s="62"/>
      <c r="CT18" s="143">
        <f>2.5</f>
        <v>2.5</v>
      </c>
      <c r="CU18" s="14">
        <f t="shared" si="23"/>
        <v>6.3000000000000007</v>
      </c>
      <c r="CV18" s="5">
        <f t="shared" si="24"/>
        <v>54</v>
      </c>
      <c r="CW18" s="4">
        <f t="shared" si="24"/>
        <v>54.099999999999994</v>
      </c>
      <c r="CX18" s="6">
        <f t="shared" si="25"/>
        <v>6.3000000000000007</v>
      </c>
      <c r="CY18" s="162">
        <v>500</v>
      </c>
      <c r="CZ18" s="171">
        <f t="shared" si="26"/>
        <v>3150.0000000000005</v>
      </c>
      <c r="DB18" s="2">
        <f t="shared" si="34"/>
        <v>6.3000000000000007</v>
      </c>
      <c r="DC18" s="61"/>
      <c r="DD18" s="143"/>
      <c r="DE18" s="149">
        <f t="shared" si="35"/>
        <v>6.3000000000000007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1.899999999999995</v>
      </c>
      <c r="G19" s="62"/>
      <c r="H19" s="143"/>
      <c r="I19" s="13">
        <f t="shared" si="0"/>
        <v>1.899999999999995</v>
      </c>
      <c r="J19" s="62"/>
      <c r="K19" s="143"/>
      <c r="L19" s="13">
        <f t="shared" si="1"/>
        <v>1.899999999999995</v>
      </c>
      <c r="M19" s="62"/>
      <c r="N19" s="143"/>
      <c r="O19" s="13">
        <f t="shared" si="2"/>
        <v>1.899999999999995</v>
      </c>
      <c r="P19" s="62"/>
      <c r="Q19" s="143"/>
      <c r="R19" s="30">
        <f t="shared" si="3"/>
        <v>1.899999999999995</v>
      </c>
      <c r="S19" s="62"/>
      <c r="T19" s="143"/>
      <c r="U19" s="13">
        <f t="shared" si="4"/>
        <v>1.899999999999995</v>
      </c>
      <c r="V19" s="62"/>
      <c r="W19" s="143"/>
      <c r="X19" s="30">
        <f t="shared" si="5"/>
        <v>1.899999999999995</v>
      </c>
      <c r="Y19" s="62"/>
      <c r="Z19" s="143"/>
      <c r="AA19" s="13">
        <f t="shared" si="27"/>
        <v>1.899999999999995</v>
      </c>
      <c r="AB19" s="62"/>
      <c r="AC19" s="143"/>
      <c r="AD19" s="13">
        <f t="shared" si="28"/>
        <v>1.899999999999995</v>
      </c>
      <c r="AE19" s="62"/>
      <c r="AF19" s="143">
        <v>0.4</v>
      </c>
      <c r="AG19" s="13">
        <f t="shared" si="29"/>
        <v>1.4999999999999951</v>
      </c>
      <c r="AH19" s="62"/>
      <c r="AI19" s="143"/>
      <c r="AJ19" s="13">
        <f t="shared" si="30"/>
        <v>1.4999999999999951</v>
      </c>
      <c r="AK19" s="62"/>
      <c r="AL19" s="143"/>
      <c r="AM19" s="13">
        <f t="shared" si="6"/>
        <v>1.4999999999999951</v>
      </c>
      <c r="AN19" s="62"/>
      <c r="AO19" s="143"/>
      <c r="AP19" s="13">
        <f t="shared" si="7"/>
        <v>1.4999999999999951</v>
      </c>
      <c r="AQ19" s="62">
        <v>4</v>
      </c>
      <c r="AR19" s="143">
        <f>2.1+1.3</f>
        <v>3.4000000000000004</v>
      </c>
      <c r="AS19" s="13">
        <f t="shared" si="8"/>
        <v>2.0999999999999943</v>
      </c>
      <c r="AT19" s="62"/>
      <c r="AU19" s="143"/>
      <c r="AV19" s="13">
        <f t="shared" si="9"/>
        <v>2.0999999999999943</v>
      </c>
      <c r="AW19" s="62"/>
      <c r="AX19" s="143"/>
      <c r="AY19" s="13">
        <f t="shared" si="10"/>
        <v>2.0999999999999943</v>
      </c>
      <c r="AZ19" s="62"/>
      <c r="BA19" s="143"/>
      <c r="BB19" s="13">
        <f t="shared" si="11"/>
        <v>2.0999999999999943</v>
      </c>
      <c r="BC19" s="62"/>
      <c r="BD19" s="143">
        <f>1.3</f>
        <v>1.3</v>
      </c>
      <c r="BE19" s="13">
        <f t="shared" si="12"/>
        <v>0.79999999999999427</v>
      </c>
      <c r="BF19" s="62"/>
      <c r="BG19" s="143"/>
      <c r="BH19" s="13">
        <f t="shared" si="13"/>
        <v>0.79999999999999427</v>
      </c>
      <c r="BI19" s="62"/>
      <c r="BJ19" s="143"/>
      <c r="BK19" s="13">
        <f t="shared" si="14"/>
        <v>0.79999999999999427</v>
      </c>
      <c r="BL19" s="62">
        <v>4</v>
      </c>
      <c r="BM19" s="143"/>
      <c r="BN19" s="13">
        <f t="shared" si="15"/>
        <v>4.7999999999999945</v>
      </c>
      <c r="BO19" s="62"/>
      <c r="BP19" s="143"/>
      <c r="BQ19" s="13">
        <f t="shared" si="16"/>
        <v>4.7999999999999945</v>
      </c>
      <c r="BR19" s="62"/>
      <c r="BS19" s="143">
        <f>2.3</f>
        <v>2.2999999999999998</v>
      </c>
      <c r="BT19" s="13">
        <f t="shared" si="17"/>
        <v>2.4999999999999947</v>
      </c>
      <c r="BU19" s="62"/>
      <c r="BV19" s="143"/>
      <c r="BW19" s="13">
        <f t="shared" si="18"/>
        <v>2.4999999999999947</v>
      </c>
      <c r="BX19" s="62"/>
      <c r="BY19" s="143">
        <v>0.3</v>
      </c>
      <c r="BZ19" s="13">
        <f t="shared" si="19"/>
        <v>2.1999999999999948</v>
      </c>
      <c r="CA19" s="62"/>
      <c r="CB19" s="143"/>
      <c r="CC19" s="13">
        <f t="shared" si="20"/>
        <v>2.1999999999999948</v>
      </c>
      <c r="CD19" s="62"/>
      <c r="CE19" s="143"/>
      <c r="CF19" s="13">
        <f t="shared" si="21"/>
        <v>2.1999999999999948</v>
      </c>
      <c r="CG19" s="62">
        <v>4</v>
      </c>
      <c r="CH19" s="143">
        <v>3.4</v>
      </c>
      <c r="CI19" s="13">
        <f t="shared" si="31"/>
        <v>2.7999999999999949</v>
      </c>
      <c r="CJ19" s="62"/>
      <c r="CK19" s="143"/>
      <c r="CL19" s="13">
        <f t="shared" si="32"/>
        <v>2.7999999999999949</v>
      </c>
      <c r="CM19" s="62">
        <v>2</v>
      </c>
      <c r="CN19" s="143"/>
      <c r="CO19" s="13">
        <f t="shared" si="22"/>
        <v>4.7999999999999954</v>
      </c>
      <c r="CP19" s="61"/>
      <c r="CQ19" s="143"/>
      <c r="CR19" s="13">
        <f t="shared" si="33"/>
        <v>4.7999999999999954</v>
      </c>
      <c r="CS19" s="62"/>
      <c r="CT19" s="143"/>
      <c r="CU19" s="14">
        <f t="shared" si="23"/>
        <v>4.7999999999999954</v>
      </c>
      <c r="CV19" s="5">
        <f t="shared" si="24"/>
        <v>14</v>
      </c>
      <c r="CW19" s="4">
        <f t="shared" si="24"/>
        <v>11.1</v>
      </c>
      <c r="CX19" s="6">
        <f t="shared" si="25"/>
        <v>4.7999999999999954</v>
      </c>
      <c r="CY19" s="162">
        <v>575</v>
      </c>
      <c r="CZ19" s="171">
        <f t="shared" si="26"/>
        <v>2759.9999999999973</v>
      </c>
      <c r="DB19" s="2">
        <f t="shared" si="34"/>
        <v>4.7999999999999954</v>
      </c>
      <c r="DC19" s="61"/>
      <c r="DD19" s="143"/>
      <c r="DE19" s="149">
        <f t="shared" si="35"/>
        <v>4.7999999999999954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1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3</v>
      </c>
      <c r="G21" s="62">
        <v>2</v>
      </c>
      <c r="H21" s="143">
        <f>3</f>
        <v>3</v>
      </c>
      <c r="I21" s="13">
        <f t="shared" si="0"/>
        <v>2</v>
      </c>
      <c r="J21" s="62">
        <v>8</v>
      </c>
      <c r="K21" s="143">
        <f>2</f>
        <v>2</v>
      </c>
      <c r="L21" s="13">
        <f t="shared" si="1"/>
        <v>8</v>
      </c>
      <c r="M21" s="62"/>
      <c r="N21" s="143">
        <f>1+4</f>
        <v>5</v>
      </c>
      <c r="O21" s="13">
        <f t="shared" si="2"/>
        <v>3</v>
      </c>
      <c r="P21" s="62"/>
      <c r="Q21" s="143"/>
      <c r="R21" s="30">
        <f t="shared" si="3"/>
        <v>3</v>
      </c>
      <c r="S21" s="62"/>
      <c r="T21" s="143">
        <f>2</f>
        <v>2</v>
      </c>
      <c r="U21" s="13">
        <f t="shared" si="4"/>
        <v>1</v>
      </c>
      <c r="V21" s="62"/>
      <c r="W21" s="143">
        <v>1</v>
      </c>
      <c r="X21" s="13">
        <f t="shared" si="5"/>
        <v>0</v>
      </c>
      <c r="Y21" s="62">
        <f>1+2+1</f>
        <v>4</v>
      </c>
      <c r="Z21" s="143"/>
      <c r="AA21" s="13">
        <f t="shared" si="27"/>
        <v>4</v>
      </c>
      <c r="AB21" s="62"/>
      <c r="AC21" s="143">
        <v>1</v>
      </c>
      <c r="AD21" s="13">
        <f t="shared" si="28"/>
        <v>3</v>
      </c>
      <c r="AE21" s="62"/>
      <c r="AF21" s="143">
        <f>1</f>
        <v>1</v>
      </c>
      <c r="AG21" s="13">
        <f t="shared" si="29"/>
        <v>2</v>
      </c>
      <c r="AH21" s="62"/>
      <c r="AI21" s="143"/>
      <c r="AJ21" s="13">
        <f t="shared" si="30"/>
        <v>2</v>
      </c>
      <c r="AK21" s="62"/>
      <c r="AL21" s="143"/>
      <c r="AM21" s="13">
        <f t="shared" si="6"/>
        <v>2</v>
      </c>
      <c r="AN21" s="62"/>
      <c r="AO21" s="143"/>
      <c r="AP21" s="13">
        <f t="shared" si="7"/>
        <v>2</v>
      </c>
      <c r="AQ21" s="62"/>
      <c r="AR21" s="143"/>
      <c r="AS21" s="13">
        <f t="shared" si="8"/>
        <v>2</v>
      </c>
      <c r="AT21" s="62"/>
      <c r="AU21" s="143"/>
      <c r="AV21" s="13">
        <f t="shared" si="9"/>
        <v>2</v>
      </c>
      <c r="AW21" s="62"/>
      <c r="AX21" s="143"/>
      <c r="AY21" s="13">
        <f t="shared" si="10"/>
        <v>2</v>
      </c>
      <c r="AZ21" s="62"/>
      <c r="BA21" s="143"/>
      <c r="BB21" s="13">
        <f t="shared" si="11"/>
        <v>2</v>
      </c>
      <c r="BC21" s="62"/>
      <c r="BD21" s="143"/>
      <c r="BE21" s="13">
        <f t="shared" si="12"/>
        <v>2</v>
      </c>
      <c r="BF21" s="62"/>
      <c r="BG21" s="143"/>
      <c r="BH21" s="13">
        <f t="shared" si="13"/>
        <v>2</v>
      </c>
      <c r="BI21" s="62"/>
      <c r="BJ21" s="143"/>
      <c r="BK21" s="13">
        <f t="shared" si="14"/>
        <v>2</v>
      </c>
      <c r="BL21" s="62"/>
      <c r="BM21" s="143"/>
      <c r="BN21" s="13">
        <f t="shared" si="15"/>
        <v>2</v>
      </c>
      <c r="BO21" s="62"/>
      <c r="BP21" s="143"/>
      <c r="BQ21" s="13">
        <f t="shared" si="16"/>
        <v>2</v>
      </c>
      <c r="BR21" s="62"/>
      <c r="BS21" s="143"/>
      <c r="BT21" s="13">
        <f t="shared" si="17"/>
        <v>2</v>
      </c>
      <c r="BU21" s="62"/>
      <c r="BV21" s="143"/>
      <c r="BW21" s="13">
        <f t="shared" si="18"/>
        <v>2</v>
      </c>
      <c r="BX21" s="62"/>
      <c r="BY21" s="143"/>
      <c r="BZ21" s="13">
        <f t="shared" si="19"/>
        <v>2</v>
      </c>
      <c r="CA21" s="62"/>
      <c r="CB21" s="143"/>
      <c r="CC21" s="13">
        <f t="shared" si="20"/>
        <v>2</v>
      </c>
      <c r="CD21" s="62"/>
      <c r="CE21" s="143"/>
      <c r="CF21" s="13">
        <f t="shared" si="21"/>
        <v>2</v>
      </c>
      <c r="CG21" s="62"/>
      <c r="CH21" s="143"/>
      <c r="CI21" s="13">
        <f t="shared" si="31"/>
        <v>2</v>
      </c>
      <c r="CJ21" s="62"/>
      <c r="CK21" s="143"/>
      <c r="CL21" s="13">
        <f t="shared" si="32"/>
        <v>2</v>
      </c>
      <c r="CM21" s="62"/>
      <c r="CN21" s="143"/>
      <c r="CO21" s="13">
        <f t="shared" si="22"/>
        <v>2</v>
      </c>
      <c r="CP21" s="61"/>
      <c r="CQ21" s="143"/>
      <c r="CR21" s="13">
        <f t="shared" si="33"/>
        <v>2</v>
      </c>
      <c r="CS21" s="62"/>
      <c r="CT21" s="143"/>
      <c r="CU21" s="14">
        <f t="shared" si="23"/>
        <v>2</v>
      </c>
      <c r="CV21" s="5">
        <f t="shared" si="24"/>
        <v>14</v>
      </c>
      <c r="CW21" s="4">
        <f t="shared" si="24"/>
        <v>15</v>
      </c>
      <c r="CX21" s="6">
        <f t="shared" si="25"/>
        <v>2</v>
      </c>
      <c r="CY21" s="162">
        <v>0</v>
      </c>
      <c r="CZ21" s="171">
        <f t="shared" si="26"/>
        <v>0</v>
      </c>
      <c r="DB21" s="2">
        <f t="shared" si="34"/>
        <v>2</v>
      </c>
      <c r="DC21" s="61"/>
      <c r="DD21" s="143"/>
      <c r="DE21" s="149">
        <f t="shared" si="35"/>
        <v>2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1.3000000000000043</v>
      </c>
      <c r="G22" s="62"/>
      <c r="H22" s="143"/>
      <c r="I22" s="13">
        <f t="shared" si="0"/>
        <v>1.3000000000000043</v>
      </c>
      <c r="J22" s="62"/>
      <c r="K22" s="143">
        <f>0.5</f>
        <v>0.5</v>
      </c>
      <c r="L22" s="13">
        <f t="shared" si="1"/>
        <v>0.80000000000000426</v>
      </c>
      <c r="M22" s="62">
        <v>10</v>
      </c>
      <c r="N22" s="143"/>
      <c r="O22" s="13">
        <f t="shared" si="2"/>
        <v>10.800000000000004</v>
      </c>
      <c r="P22" s="62"/>
      <c r="Q22" s="143"/>
      <c r="R22" s="30">
        <f t="shared" si="3"/>
        <v>10.800000000000004</v>
      </c>
      <c r="S22" s="62"/>
      <c r="T22" s="143"/>
      <c r="U22" s="13">
        <f t="shared" si="4"/>
        <v>10.800000000000004</v>
      </c>
      <c r="V22" s="62"/>
      <c r="W22" s="143">
        <f>0.4</f>
        <v>0.4</v>
      </c>
      <c r="X22" s="13">
        <f t="shared" si="5"/>
        <v>10.400000000000004</v>
      </c>
      <c r="Y22" s="62"/>
      <c r="Z22" s="143">
        <f>1.3+0.2+2.5</f>
        <v>4</v>
      </c>
      <c r="AA22" s="13">
        <f t="shared" si="27"/>
        <v>6.4000000000000039</v>
      </c>
      <c r="AB22" s="62"/>
      <c r="AC22" s="143">
        <f>0.4</f>
        <v>0.4</v>
      </c>
      <c r="AD22" s="13">
        <f t="shared" si="28"/>
        <v>6.0000000000000036</v>
      </c>
      <c r="AE22" s="62"/>
      <c r="AF22" s="143"/>
      <c r="AG22" s="13">
        <f t="shared" si="29"/>
        <v>6.0000000000000036</v>
      </c>
      <c r="AH22" s="62">
        <v>10</v>
      </c>
      <c r="AI22" s="143">
        <f>0.9</f>
        <v>0.9</v>
      </c>
      <c r="AJ22" s="13">
        <f t="shared" si="30"/>
        <v>15.100000000000003</v>
      </c>
      <c r="AK22" s="62"/>
      <c r="AL22" s="143"/>
      <c r="AM22" s="13">
        <f t="shared" si="6"/>
        <v>15.100000000000003</v>
      </c>
      <c r="AN22" s="62"/>
      <c r="AO22" s="143">
        <f>7+1.3+1.1</f>
        <v>9.4</v>
      </c>
      <c r="AP22" s="13">
        <f t="shared" si="7"/>
        <v>5.7000000000000028</v>
      </c>
      <c r="AQ22" s="62">
        <v>20</v>
      </c>
      <c r="AR22" s="143">
        <f>3+2.7+4+5.3+2.3+3.1</f>
        <v>20.400000000000002</v>
      </c>
      <c r="AS22" s="13">
        <f t="shared" si="8"/>
        <v>5.3000000000000007</v>
      </c>
      <c r="AT22" s="62"/>
      <c r="AU22" s="143"/>
      <c r="AV22" s="13">
        <f t="shared" si="9"/>
        <v>5.3000000000000007</v>
      </c>
      <c r="AW22" s="62">
        <v>10</v>
      </c>
      <c r="AX22" s="143">
        <f>0.8+0.8+0.5</f>
        <v>2.1</v>
      </c>
      <c r="AY22" s="13">
        <f t="shared" si="10"/>
        <v>13.200000000000001</v>
      </c>
      <c r="AZ22" s="62">
        <v>10</v>
      </c>
      <c r="BA22" s="143">
        <f>10+2.4</f>
        <v>12.4</v>
      </c>
      <c r="BB22" s="13">
        <f t="shared" si="11"/>
        <v>10.800000000000002</v>
      </c>
      <c r="BC22" s="62">
        <v>10</v>
      </c>
      <c r="BD22" s="143">
        <f>1.1+1.2+4+2.9</f>
        <v>9.1999999999999993</v>
      </c>
      <c r="BE22" s="13">
        <f t="shared" si="12"/>
        <v>11.600000000000005</v>
      </c>
      <c r="BF22" s="62"/>
      <c r="BG22" s="143"/>
      <c r="BH22" s="13">
        <f t="shared" si="13"/>
        <v>11.600000000000005</v>
      </c>
      <c r="BI22" s="62"/>
      <c r="BJ22" s="143"/>
      <c r="BK22" s="13">
        <f t="shared" si="14"/>
        <v>11.600000000000005</v>
      </c>
      <c r="BL22" s="62">
        <v>10</v>
      </c>
      <c r="BM22" s="143"/>
      <c r="BN22" s="13">
        <f t="shared" si="15"/>
        <v>21.600000000000005</v>
      </c>
      <c r="BO22" s="62"/>
      <c r="BP22" s="143">
        <f>0.3+2.1</f>
        <v>2.4</v>
      </c>
      <c r="BQ22" s="13">
        <f t="shared" si="16"/>
        <v>19.200000000000006</v>
      </c>
      <c r="BR22" s="62"/>
      <c r="BS22" s="143">
        <f>1.4+2.5</f>
        <v>3.9</v>
      </c>
      <c r="BT22" s="13">
        <f t="shared" si="17"/>
        <v>15.300000000000006</v>
      </c>
      <c r="BU22" s="62"/>
      <c r="BV22" s="143">
        <f>0.6</f>
        <v>0.6</v>
      </c>
      <c r="BW22" s="13">
        <f t="shared" si="18"/>
        <v>14.700000000000006</v>
      </c>
      <c r="BX22" s="62"/>
      <c r="BY22" s="143"/>
      <c r="BZ22" s="13">
        <f t="shared" si="19"/>
        <v>14.700000000000006</v>
      </c>
      <c r="CA22" s="62"/>
      <c r="CB22" s="143"/>
      <c r="CC22" s="13">
        <f t="shared" si="20"/>
        <v>14.700000000000006</v>
      </c>
      <c r="CD22" s="62">
        <v>10</v>
      </c>
      <c r="CE22" s="143">
        <f>0.9+1.7</f>
        <v>2.6</v>
      </c>
      <c r="CF22" s="13">
        <f t="shared" si="21"/>
        <v>22.100000000000005</v>
      </c>
      <c r="CG22" s="62">
        <v>10</v>
      </c>
      <c r="CH22" s="143">
        <f>7+2.1+3+2.9+4</f>
        <v>19</v>
      </c>
      <c r="CI22" s="13">
        <f t="shared" si="31"/>
        <v>13.100000000000009</v>
      </c>
      <c r="CJ22" s="62"/>
      <c r="CK22" s="143"/>
      <c r="CL22" s="13">
        <f t="shared" si="32"/>
        <v>13.100000000000009</v>
      </c>
      <c r="CM22" s="62"/>
      <c r="CN22" s="143">
        <f>2.2</f>
        <v>2.2000000000000002</v>
      </c>
      <c r="CO22" s="13">
        <f t="shared" si="22"/>
        <v>10.900000000000009</v>
      </c>
      <c r="CP22" s="62"/>
      <c r="CQ22" s="143">
        <f>0.8+1</f>
        <v>1.8</v>
      </c>
      <c r="CR22" s="13">
        <f t="shared" si="33"/>
        <v>9.1000000000000085</v>
      </c>
      <c r="CS22" s="62"/>
      <c r="CT22" s="143">
        <f>3.2</f>
        <v>3.2</v>
      </c>
      <c r="CU22" s="14">
        <f t="shared" si="23"/>
        <v>5.9000000000000083</v>
      </c>
      <c r="CV22" s="5">
        <f t="shared" si="24"/>
        <v>100</v>
      </c>
      <c r="CW22" s="4">
        <f t="shared" si="24"/>
        <v>95.399999999999991</v>
      </c>
      <c r="CX22" s="6">
        <f t="shared" si="25"/>
        <v>5.9000000000000083</v>
      </c>
      <c r="CY22" s="162">
        <v>240</v>
      </c>
      <c r="CZ22" s="171">
        <f t="shared" si="26"/>
        <v>1416.000000000002</v>
      </c>
      <c r="DB22" s="2">
        <f t="shared" si="34"/>
        <v>5.9000000000000083</v>
      </c>
      <c r="DC22" s="62"/>
      <c r="DD22" s="143"/>
      <c r="DE22" s="149">
        <f t="shared" si="35"/>
        <v>5.9000000000000083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16</v>
      </c>
      <c r="G23" s="62">
        <v>30</v>
      </c>
      <c r="H23" s="143">
        <v>14</v>
      </c>
      <c r="I23" s="13">
        <f t="shared" si="0"/>
        <v>32</v>
      </c>
      <c r="J23" s="62">
        <v>60</v>
      </c>
      <c r="K23" s="143">
        <f>8</f>
        <v>8</v>
      </c>
      <c r="L23" s="13">
        <f t="shared" si="1"/>
        <v>84</v>
      </c>
      <c r="M23" s="62">
        <v>30</v>
      </c>
      <c r="N23" s="143">
        <f>22</f>
        <v>22</v>
      </c>
      <c r="O23" s="13">
        <f t="shared" si="2"/>
        <v>92</v>
      </c>
      <c r="P23" s="62"/>
      <c r="Q23" s="143"/>
      <c r="R23" s="13">
        <f t="shared" si="3"/>
        <v>92</v>
      </c>
      <c r="S23" s="62"/>
      <c r="T23" s="143">
        <f>24</f>
        <v>24</v>
      </c>
      <c r="U23" s="13">
        <f t="shared" si="4"/>
        <v>68</v>
      </c>
      <c r="V23" s="62"/>
      <c r="W23" s="143">
        <v>24</v>
      </c>
      <c r="X23" s="13">
        <f t="shared" si="5"/>
        <v>44</v>
      </c>
      <c r="Y23" s="62"/>
      <c r="Z23" s="143"/>
      <c r="AA23" s="13">
        <f t="shared" si="27"/>
        <v>44</v>
      </c>
      <c r="AB23" s="62"/>
      <c r="AC23" s="143">
        <f>4</f>
        <v>4</v>
      </c>
      <c r="AD23" s="13">
        <f t="shared" si="28"/>
        <v>40</v>
      </c>
      <c r="AE23" s="62"/>
      <c r="AF23" s="143"/>
      <c r="AG23" s="13">
        <f t="shared" si="29"/>
        <v>40</v>
      </c>
      <c r="AH23" s="62"/>
      <c r="AI23" s="143">
        <f>1</f>
        <v>1</v>
      </c>
      <c r="AJ23" s="13">
        <f t="shared" si="30"/>
        <v>39</v>
      </c>
      <c r="AK23" s="62"/>
      <c r="AL23" s="143"/>
      <c r="AM23" s="13">
        <f t="shared" si="6"/>
        <v>39</v>
      </c>
      <c r="AN23" s="62"/>
      <c r="AO23" s="143">
        <v>4</v>
      </c>
      <c r="AP23" s="13">
        <f t="shared" si="7"/>
        <v>35</v>
      </c>
      <c r="AQ23" s="62"/>
      <c r="AR23" s="143">
        <v>5</v>
      </c>
      <c r="AS23" s="13">
        <f t="shared" si="8"/>
        <v>30</v>
      </c>
      <c r="AT23" s="62"/>
      <c r="AU23" s="143"/>
      <c r="AV23" s="13">
        <f t="shared" si="9"/>
        <v>30</v>
      </c>
      <c r="AW23" s="62"/>
      <c r="AX23" s="143">
        <f>4+1</f>
        <v>5</v>
      </c>
      <c r="AY23" s="13">
        <f t="shared" si="10"/>
        <v>25</v>
      </c>
      <c r="AZ23" s="62">
        <v>30</v>
      </c>
      <c r="BA23" s="143">
        <f>8</f>
        <v>8</v>
      </c>
      <c r="BB23" s="13">
        <f t="shared" si="11"/>
        <v>47</v>
      </c>
      <c r="BC23" s="62"/>
      <c r="BD23" s="143">
        <f>4</f>
        <v>4</v>
      </c>
      <c r="BE23" s="13">
        <f t="shared" si="12"/>
        <v>43</v>
      </c>
      <c r="BF23" s="62"/>
      <c r="BG23" s="143"/>
      <c r="BH23" s="13">
        <f t="shared" si="13"/>
        <v>43</v>
      </c>
      <c r="BI23" s="62"/>
      <c r="BJ23" s="143">
        <f>6</f>
        <v>6</v>
      </c>
      <c r="BK23" s="13">
        <f t="shared" si="14"/>
        <v>37</v>
      </c>
      <c r="BL23" s="62"/>
      <c r="BM23" s="143">
        <f>1+16</f>
        <v>17</v>
      </c>
      <c r="BN23" s="13">
        <f t="shared" si="15"/>
        <v>20</v>
      </c>
      <c r="BO23" s="62"/>
      <c r="BP23" s="143"/>
      <c r="BQ23" s="13">
        <f t="shared" si="16"/>
        <v>20</v>
      </c>
      <c r="BR23" s="62">
        <f>30+30</f>
        <v>60</v>
      </c>
      <c r="BS23" s="143">
        <v>4</v>
      </c>
      <c r="BT23" s="13">
        <f t="shared" si="17"/>
        <v>76</v>
      </c>
      <c r="BU23" s="62"/>
      <c r="BV23" s="143">
        <f>2</f>
        <v>2</v>
      </c>
      <c r="BW23" s="13">
        <f t="shared" si="18"/>
        <v>74</v>
      </c>
      <c r="BX23" s="62"/>
      <c r="BY23" s="143">
        <f>1+8</f>
        <v>9</v>
      </c>
      <c r="BZ23" s="13">
        <f t="shared" si="19"/>
        <v>65</v>
      </c>
      <c r="CA23" s="62"/>
      <c r="CB23" s="143"/>
      <c r="CC23" s="13">
        <f t="shared" si="20"/>
        <v>65</v>
      </c>
      <c r="CD23" s="62"/>
      <c r="CE23" s="143">
        <f>1+10+2</f>
        <v>13</v>
      </c>
      <c r="CF23" s="13">
        <f t="shared" si="21"/>
        <v>52</v>
      </c>
      <c r="CG23" s="62"/>
      <c r="CH23" s="143">
        <f>10+6+1</f>
        <v>17</v>
      </c>
      <c r="CI23" s="13">
        <f t="shared" si="31"/>
        <v>35</v>
      </c>
      <c r="CJ23" s="62"/>
      <c r="CK23" s="143"/>
      <c r="CL23" s="13">
        <f t="shared" si="32"/>
        <v>35</v>
      </c>
      <c r="CM23" s="62"/>
      <c r="CN23" s="143">
        <f>6</f>
        <v>6</v>
      </c>
      <c r="CO23" s="13">
        <f t="shared" si="22"/>
        <v>29</v>
      </c>
      <c r="CP23" s="61">
        <f>-10+30</f>
        <v>20</v>
      </c>
      <c r="CQ23" s="143">
        <f>10+18</f>
        <v>28</v>
      </c>
      <c r="CR23" s="13">
        <f t="shared" si="33"/>
        <v>21</v>
      </c>
      <c r="CS23" s="62">
        <v>30</v>
      </c>
      <c r="CT23" s="143">
        <f>1+8</f>
        <v>9</v>
      </c>
      <c r="CU23" s="14">
        <f t="shared" si="23"/>
        <v>42</v>
      </c>
      <c r="CV23" s="5">
        <f t="shared" si="24"/>
        <v>260</v>
      </c>
      <c r="CW23" s="4">
        <f t="shared" si="24"/>
        <v>234</v>
      </c>
      <c r="CX23" s="6">
        <f t="shared" si="25"/>
        <v>42</v>
      </c>
      <c r="CY23" s="162">
        <v>180</v>
      </c>
      <c r="CZ23" s="171">
        <f t="shared" si="26"/>
        <v>7560</v>
      </c>
      <c r="DB23" s="2">
        <f t="shared" si="34"/>
        <v>42</v>
      </c>
      <c r="DC23" s="61"/>
      <c r="DD23" s="143"/>
      <c r="DE23" s="149">
        <f t="shared" si="35"/>
        <v>42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5</v>
      </c>
      <c r="G24" s="62"/>
      <c r="H24" s="143"/>
      <c r="I24" s="13">
        <f t="shared" si="0"/>
        <v>5</v>
      </c>
      <c r="J24" s="62"/>
      <c r="K24" s="143"/>
      <c r="L24" s="13">
        <f t="shared" si="1"/>
        <v>5</v>
      </c>
      <c r="M24" s="62"/>
      <c r="N24" s="143"/>
      <c r="O24" s="13">
        <f t="shared" si="2"/>
        <v>5</v>
      </c>
      <c r="P24" s="62"/>
      <c r="Q24" s="143"/>
      <c r="R24" s="30">
        <f t="shared" si="3"/>
        <v>5</v>
      </c>
      <c r="S24" s="62"/>
      <c r="T24" s="143"/>
      <c r="U24" s="13">
        <f t="shared" si="4"/>
        <v>5</v>
      </c>
      <c r="V24" s="62"/>
      <c r="W24" s="143"/>
      <c r="X24" s="13">
        <f t="shared" si="5"/>
        <v>5</v>
      </c>
      <c r="Y24" s="62"/>
      <c r="Z24" s="143"/>
      <c r="AA24" s="13">
        <f t="shared" si="27"/>
        <v>5</v>
      </c>
      <c r="AB24" s="62"/>
      <c r="AC24" s="143"/>
      <c r="AD24" s="13">
        <f t="shared" si="28"/>
        <v>5</v>
      </c>
      <c r="AE24" s="62"/>
      <c r="AF24" s="143"/>
      <c r="AG24" s="13">
        <f t="shared" si="29"/>
        <v>5</v>
      </c>
      <c r="AH24" s="62"/>
      <c r="AI24" s="143"/>
      <c r="AJ24" s="13">
        <f t="shared" si="30"/>
        <v>5</v>
      </c>
      <c r="AK24" s="62"/>
      <c r="AL24" s="143"/>
      <c r="AM24" s="13">
        <f t="shared" si="6"/>
        <v>5</v>
      </c>
      <c r="AN24" s="62"/>
      <c r="AO24" s="143"/>
      <c r="AP24" s="13">
        <f t="shared" si="7"/>
        <v>5</v>
      </c>
      <c r="AQ24" s="62"/>
      <c r="AR24" s="143"/>
      <c r="AS24" s="13">
        <f t="shared" si="8"/>
        <v>5</v>
      </c>
      <c r="AT24" s="62"/>
      <c r="AU24" s="143"/>
      <c r="AV24" s="13">
        <f t="shared" si="9"/>
        <v>5</v>
      </c>
      <c r="AW24" s="62"/>
      <c r="AX24" s="143"/>
      <c r="AY24" s="13">
        <f t="shared" si="10"/>
        <v>5</v>
      </c>
      <c r="AZ24" s="62">
        <v>4</v>
      </c>
      <c r="BA24" s="143">
        <v>3</v>
      </c>
      <c r="BB24" s="13">
        <f t="shared" si="11"/>
        <v>6</v>
      </c>
      <c r="BC24" s="62"/>
      <c r="BD24" s="143">
        <v>5</v>
      </c>
      <c r="BE24" s="13">
        <f t="shared" si="12"/>
        <v>1</v>
      </c>
      <c r="BF24" s="62"/>
      <c r="BG24" s="143"/>
      <c r="BH24" s="13">
        <f t="shared" si="13"/>
        <v>1</v>
      </c>
      <c r="BI24" s="62"/>
      <c r="BJ24" s="143"/>
      <c r="BK24" s="13">
        <f t="shared" si="14"/>
        <v>1</v>
      </c>
      <c r="BL24" s="62"/>
      <c r="BM24" s="143"/>
      <c r="BN24" s="13">
        <f t="shared" si="15"/>
        <v>1</v>
      </c>
      <c r="BO24" s="62"/>
      <c r="BP24" s="143"/>
      <c r="BQ24" s="13">
        <f t="shared" si="16"/>
        <v>1</v>
      </c>
      <c r="BR24" s="62"/>
      <c r="BS24" s="143"/>
      <c r="BT24" s="13">
        <f t="shared" si="17"/>
        <v>1</v>
      </c>
      <c r="BU24" s="62"/>
      <c r="BV24" s="143"/>
      <c r="BW24" s="13">
        <f t="shared" si="18"/>
        <v>1</v>
      </c>
      <c r="BX24" s="62"/>
      <c r="BY24" s="143"/>
      <c r="BZ24" s="13">
        <f t="shared" si="19"/>
        <v>1</v>
      </c>
      <c r="CA24" s="62"/>
      <c r="CB24" s="143"/>
      <c r="CC24" s="13">
        <f t="shared" si="20"/>
        <v>1</v>
      </c>
      <c r="CD24" s="62"/>
      <c r="CE24" s="143"/>
      <c r="CF24" s="13">
        <f t="shared" si="21"/>
        <v>1</v>
      </c>
      <c r="CG24" s="62">
        <v>9</v>
      </c>
      <c r="CH24" s="143">
        <f>5+5</f>
        <v>10</v>
      </c>
      <c r="CI24" s="13">
        <f t="shared" si="31"/>
        <v>0</v>
      </c>
      <c r="CJ24" s="62"/>
      <c r="CK24" s="143"/>
      <c r="CL24" s="13">
        <f t="shared" si="32"/>
        <v>0</v>
      </c>
      <c r="CM24" s="62"/>
      <c r="CN24" s="143"/>
      <c r="CO24" s="13">
        <f t="shared" si="22"/>
        <v>0</v>
      </c>
      <c r="CP24" s="62"/>
      <c r="CQ24" s="143"/>
      <c r="CR24" s="13">
        <f t="shared" si="33"/>
        <v>0</v>
      </c>
      <c r="CS24" s="62">
        <v>9</v>
      </c>
      <c r="CT24" s="143"/>
      <c r="CU24" s="14">
        <f t="shared" si="23"/>
        <v>9</v>
      </c>
      <c r="CV24" s="5">
        <f t="shared" si="24"/>
        <v>22</v>
      </c>
      <c r="CW24" s="4">
        <f t="shared" si="24"/>
        <v>18</v>
      </c>
      <c r="CX24" s="6">
        <f t="shared" si="25"/>
        <v>9</v>
      </c>
      <c r="CY24" s="162">
        <v>106</v>
      </c>
      <c r="CZ24" s="171">
        <f t="shared" si="26"/>
        <v>954</v>
      </c>
      <c r="DB24" s="2">
        <f t="shared" si="34"/>
        <v>9</v>
      </c>
      <c r="DC24" s="61"/>
      <c r="DD24" s="143"/>
      <c r="DE24" s="149">
        <f t="shared" si="35"/>
        <v>9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19</v>
      </c>
      <c r="G25" s="62"/>
      <c r="H25" s="143">
        <f>3</f>
        <v>3</v>
      </c>
      <c r="I25" s="13">
        <f t="shared" si="0"/>
        <v>16</v>
      </c>
      <c r="J25" s="62">
        <v>20</v>
      </c>
      <c r="K25" s="143">
        <f>0.5+2+1</f>
        <v>3.5</v>
      </c>
      <c r="L25" s="13">
        <f t="shared" si="1"/>
        <v>32.5</v>
      </c>
      <c r="M25" s="62"/>
      <c r="N25" s="143">
        <f>3+2+2</f>
        <v>7</v>
      </c>
      <c r="O25" s="13">
        <f t="shared" si="2"/>
        <v>25.5</v>
      </c>
      <c r="P25" s="62"/>
      <c r="Q25" s="143"/>
      <c r="R25" s="30">
        <f t="shared" si="3"/>
        <v>25.5</v>
      </c>
      <c r="S25" s="62"/>
      <c r="T25" s="143">
        <f>4</f>
        <v>4</v>
      </c>
      <c r="U25" s="13">
        <f t="shared" si="4"/>
        <v>21.5</v>
      </c>
      <c r="V25" s="62"/>
      <c r="W25" s="143">
        <f>2+2+1+2+1+1</f>
        <v>9</v>
      </c>
      <c r="X25" s="13">
        <f t="shared" si="5"/>
        <v>12.5</v>
      </c>
      <c r="Y25" s="62"/>
      <c r="Z25" s="143">
        <f>0.5+1</f>
        <v>1.5</v>
      </c>
      <c r="AA25" s="13">
        <f t="shared" si="27"/>
        <v>11</v>
      </c>
      <c r="AB25" s="62"/>
      <c r="AC25" s="143">
        <f>5</f>
        <v>5</v>
      </c>
      <c r="AD25" s="13">
        <f t="shared" si="28"/>
        <v>6</v>
      </c>
      <c r="AE25" s="62">
        <v>10</v>
      </c>
      <c r="AF25" s="143">
        <f>3</f>
        <v>3</v>
      </c>
      <c r="AG25" s="13">
        <f t="shared" si="29"/>
        <v>13</v>
      </c>
      <c r="AH25" s="62"/>
      <c r="AI25" s="143">
        <f>3+4</f>
        <v>7</v>
      </c>
      <c r="AJ25" s="13">
        <f t="shared" si="30"/>
        <v>6</v>
      </c>
      <c r="AK25" s="62"/>
      <c r="AL25" s="143"/>
      <c r="AM25" s="13">
        <f t="shared" si="6"/>
        <v>6</v>
      </c>
      <c r="AN25" s="62">
        <v>10</v>
      </c>
      <c r="AO25" s="143">
        <f>2+1+1</f>
        <v>4</v>
      </c>
      <c r="AP25" s="13">
        <f t="shared" si="7"/>
        <v>12</v>
      </c>
      <c r="AQ25" s="62">
        <v>10</v>
      </c>
      <c r="AR25" s="143">
        <f>3+2+2+2+2+1</f>
        <v>12</v>
      </c>
      <c r="AS25" s="13">
        <f t="shared" si="8"/>
        <v>10</v>
      </c>
      <c r="AT25" s="62"/>
      <c r="AU25" s="143">
        <v>3</v>
      </c>
      <c r="AV25" s="13">
        <f t="shared" si="9"/>
        <v>7</v>
      </c>
      <c r="AW25" s="62">
        <v>10</v>
      </c>
      <c r="AX25" s="143">
        <f>3+0.5</f>
        <v>3.5</v>
      </c>
      <c r="AY25" s="13">
        <f t="shared" si="10"/>
        <v>13.5</v>
      </c>
      <c r="AZ25" s="62"/>
      <c r="BA25" s="143">
        <v>1</v>
      </c>
      <c r="BB25" s="13">
        <f t="shared" si="11"/>
        <v>12.5</v>
      </c>
      <c r="BC25" s="62"/>
      <c r="BD25" s="143">
        <f>1+1</f>
        <v>2</v>
      </c>
      <c r="BE25" s="13">
        <f t="shared" si="12"/>
        <v>10.5</v>
      </c>
      <c r="BF25" s="62"/>
      <c r="BG25" s="143"/>
      <c r="BH25" s="13">
        <f t="shared" si="13"/>
        <v>10.5</v>
      </c>
      <c r="BI25" s="62"/>
      <c r="BJ25" s="143"/>
      <c r="BK25" s="13">
        <f t="shared" si="14"/>
        <v>10.5</v>
      </c>
      <c r="BL25" s="62">
        <v>10</v>
      </c>
      <c r="BM25" s="143">
        <f>4</f>
        <v>4</v>
      </c>
      <c r="BN25" s="13">
        <f t="shared" si="15"/>
        <v>16.5</v>
      </c>
      <c r="BO25" s="62"/>
      <c r="BP25" s="143">
        <f>2.5+2+2</f>
        <v>6.5</v>
      </c>
      <c r="BQ25" s="13">
        <f t="shared" si="16"/>
        <v>10</v>
      </c>
      <c r="BR25" s="62">
        <v>10</v>
      </c>
      <c r="BS25" s="143">
        <f>4+1</f>
        <v>5</v>
      </c>
      <c r="BT25" s="13">
        <f t="shared" si="17"/>
        <v>15</v>
      </c>
      <c r="BU25" s="62"/>
      <c r="BV25" s="143">
        <f>0.5+0.5+5+1</f>
        <v>7</v>
      </c>
      <c r="BW25" s="13">
        <f t="shared" si="18"/>
        <v>8</v>
      </c>
      <c r="BX25" s="62">
        <v>10</v>
      </c>
      <c r="BY25" s="143">
        <f>3+1</f>
        <v>4</v>
      </c>
      <c r="BZ25" s="13">
        <f t="shared" si="19"/>
        <v>14</v>
      </c>
      <c r="CA25" s="62"/>
      <c r="CB25" s="143"/>
      <c r="CC25" s="13">
        <f t="shared" si="20"/>
        <v>14</v>
      </c>
      <c r="CD25" s="62"/>
      <c r="CE25" s="143">
        <f>1+3</f>
        <v>4</v>
      </c>
      <c r="CF25" s="13">
        <f t="shared" si="21"/>
        <v>10</v>
      </c>
      <c r="CG25" s="62">
        <v>10</v>
      </c>
      <c r="CH25" s="143">
        <f>1+2</f>
        <v>3</v>
      </c>
      <c r="CI25" s="13">
        <f t="shared" si="31"/>
        <v>17</v>
      </c>
      <c r="CJ25" s="62"/>
      <c r="CK25" s="143"/>
      <c r="CL25" s="13">
        <f t="shared" si="32"/>
        <v>17</v>
      </c>
      <c r="CM25" s="62"/>
      <c r="CN25" s="143">
        <f>2+2+1.5+1</f>
        <v>6.5</v>
      </c>
      <c r="CO25" s="13">
        <f t="shared" si="22"/>
        <v>10.5</v>
      </c>
      <c r="CP25" s="62"/>
      <c r="CQ25" s="143">
        <f>3+0.5+1</f>
        <v>4.5</v>
      </c>
      <c r="CR25" s="13">
        <f t="shared" si="33"/>
        <v>6</v>
      </c>
      <c r="CS25" s="62"/>
      <c r="CT25" s="143">
        <f>1+1</f>
        <v>2</v>
      </c>
      <c r="CU25" s="14">
        <f t="shared" si="23"/>
        <v>4</v>
      </c>
      <c r="CV25" s="5">
        <f t="shared" si="24"/>
        <v>100</v>
      </c>
      <c r="CW25" s="4">
        <f t="shared" si="24"/>
        <v>115</v>
      </c>
      <c r="CX25" s="6">
        <f t="shared" si="25"/>
        <v>4</v>
      </c>
      <c r="CY25" s="162">
        <v>165</v>
      </c>
      <c r="CZ25" s="171">
        <f t="shared" si="26"/>
        <v>660</v>
      </c>
      <c r="DB25" s="2">
        <f t="shared" si="34"/>
        <v>4</v>
      </c>
      <c r="DC25" s="61"/>
      <c r="DD25" s="143"/>
      <c r="DE25" s="149">
        <f t="shared" si="35"/>
        <v>4</v>
      </c>
    </row>
    <row r="26" spans="1:109" ht="15.75" customHeight="1">
      <c r="A26" s="33"/>
      <c r="B26" s="7" t="s">
        <v>64</v>
      </c>
      <c r="C26" s="105" t="s">
        <v>65</v>
      </c>
      <c r="D26" s="35" t="s">
        <v>246</v>
      </c>
      <c r="E26" s="35" t="s">
        <v>51</v>
      </c>
      <c r="F26" s="14">
        <v>29</v>
      </c>
      <c r="G26" s="62">
        <v>10</v>
      </c>
      <c r="H26" s="143">
        <f>8</f>
        <v>8</v>
      </c>
      <c r="I26" s="13">
        <f t="shared" si="0"/>
        <v>31</v>
      </c>
      <c r="J26" s="62">
        <v>20</v>
      </c>
      <c r="K26" s="143">
        <v>5</v>
      </c>
      <c r="L26" s="13">
        <f t="shared" si="1"/>
        <v>46</v>
      </c>
      <c r="M26" s="62"/>
      <c r="N26" s="143">
        <f>10</f>
        <v>10</v>
      </c>
      <c r="O26" s="13">
        <f t="shared" si="2"/>
        <v>36</v>
      </c>
      <c r="P26" s="62"/>
      <c r="Q26" s="143"/>
      <c r="R26" s="30">
        <f t="shared" si="3"/>
        <v>36</v>
      </c>
      <c r="S26" s="62"/>
      <c r="T26" s="143">
        <v>8</v>
      </c>
      <c r="U26" s="13">
        <f t="shared" si="4"/>
        <v>28</v>
      </c>
      <c r="V26" s="62"/>
      <c r="W26" s="143">
        <v>8</v>
      </c>
      <c r="X26" s="13">
        <f t="shared" si="5"/>
        <v>20</v>
      </c>
      <c r="Y26" s="62"/>
      <c r="Z26" s="143"/>
      <c r="AA26" s="13">
        <f t="shared" si="27"/>
        <v>20</v>
      </c>
      <c r="AB26" s="62"/>
      <c r="AC26" s="143">
        <v>1</v>
      </c>
      <c r="AD26" s="13">
        <f t="shared" si="28"/>
        <v>19</v>
      </c>
      <c r="AE26" s="62"/>
      <c r="AF26" s="143">
        <v>1</v>
      </c>
      <c r="AG26" s="13">
        <f t="shared" si="29"/>
        <v>18</v>
      </c>
      <c r="AH26" s="62"/>
      <c r="AI26" s="143">
        <v>3</v>
      </c>
      <c r="AJ26" s="13">
        <f t="shared" si="30"/>
        <v>15</v>
      </c>
      <c r="AK26" s="62"/>
      <c r="AL26" s="143"/>
      <c r="AM26" s="13">
        <f t="shared" si="6"/>
        <v>15</v>
      </c>
      <c r="AN26" s="62"/>
      <c r="AO26" s="143">
        <v>5</v>
      </c>
      <c r="AP26" s="13">
        <f t="shared" si="7"/>
        <v>10</v>
      </c>
      <c r="AQ26" s="62"/>
      <c r="AR26" s="143">
        <v>3</v>
      </c>
      <c r="AS26" s="13">
        <f t="shared" si="8"/>
        <v>7</v>
      </c>
      <c r="AT26" s="62"/>
      <c r="AU26" s="143"/>
      <c r="AV26" s="13">
        <f t="shared" si="9"/>
        <v>7</v>
      </c>
      <c r="AW26" s="62">
        <v>4</v>
      </c>
      <c r="AX26" s="143">
        <v>6</v>
      </c>
      <c r="AY26" s="13">
        <f t="shared" si="10"/>
        <v>5</v>
      </c>
      <c r="AZ26" s="62">
        <v>15</v>
      </c>
      <c r="BA26" s="143">
        <v>4</v>
      </c>
      <c r="BB26" s="13">
        <f t="shared" si="11"/>
        <v>16</v>
      </c>
      <c r="BC26" s="62"/>
      <c r="BD26" s="143">
        <v>8</v>
      </c>
      <c r="BE26" s="13">
        <f t="shared" si="12"/>
        <v>8</v>
      </c>
      <c r="BF26" s="62"/>
      <c r="BG26" s="143"/>
      <c r="BH26" s="13">
        <f t="shared" si="13"/>
        <v>8</v>
      </c>
      <c r="BI26" s="62">
        <v>20</v>
      </c>
      <c r="BJ26" s="143">
        <v>5</v>
      </c>
      <c r="BK26" s="13">
        <f t="shared" si="14"/>
        <v>23</v>
      </c>
      <c r="BL26" s="62">
        <v>2</v>
      </c>
      <c r="BM26" s="143">
        <v>3</v>
      </c>
      <c r="BN26" s="13">
        <f t="shared" si="15"/>
        <v>22</v>
      </c>
      <c r="BO26" s="62"/>
      <c r="BP26" s="143"/>
      <c r="BQ26" s="13">
        <f t="shared" si="16"/>
        <v>22</v>
      </c>
      <c r="BR26" s="62">
        <v>2</v>
      </c>
      <c r="BS26" s="143">
        <v>9</v>
      </c>
      <c r="BT26" s="13">
        <f t="shared" si="17"/>
        <v>15</v>
      </c>
      <c r="BU26" s="62">
        <f>2+10</f>
        <v>12</v>
      </c>
      <c r="BV26" s="143">
        <v>7</v>
      </c>
      <c r="BW26" s="13">
        <f t="shared" si="18"/>
        <v>20</v>
      </c>
      <c r="BX26" s="62">
        <v>2</v>
      </c>
      <c r="BY26" s="143">
        <v>5</v>
      </c>
      <c r="BZ26" s="13">
        <f t="shared" si="19"/>
        <v>17</v>
      </c>
      <c r="CA26" s="62"/>
      <c r="CB26" s="143"/>
      <c r="CC26" s="13">
        <f t="shared" si="20"/>
        <v>17</v>
      </c>
      <c r="CD26" s="62">
        <v>2</v>
      </c>
      <c r="CE26" s="143">
        <v>4</v>
      </c>
      <c r="CF26" s="13">
        <f t="shared" si="21"/>
        <v>15</v>
      </c>
      <c r="CG26" s="62">
        <f>2+10</f>
        <v>12</v>
      </c>
      <c r="CH26" s="143">
        <v>7</v>
      </c>
      <c r="CI26" s="13">
        <f t="shared" si="31"/>
        <v>20</v>
      </c>
      <c r="CJ26" s="62"/>
      <c r="CK26" s="143"/>
      <c r="CL26" s="13">
        <f t="shared" si="32"/>
        <v>20</v>
      </c>
      <c r="CM26" s="62">
        <v>2</v>
      </c>
      <c r="CN26" s="143">
        <v>5</v>
      </c>
      <c r="CO26" s="13">
        <f t="shared" si="22"/>
        <v>17</v>
      </c>
      <c r="CP26" s="62">
        <f>4+2</f>
        <v>6</v>
      </c>
      <c r="CQ26" s="143">
        <v>7</v>
      </c>
      <c r="CR26" s="13">
        <f t="shared" si="33"/>
        <v>16</v>
      </c>
      <c r="CS26" s="62">
        <v>2</v>
      </c>
      <c r="CT26" s="143">
        <v>8</v>
      </c>
      <c r="CU26" s="14">
        <f t="shared" si="23"/>
        <v>10</v>
      </c>
      <c r="CV26" s="5">
        <f t="shared" si="24"/>
        <v>111</v>
      </c>
      <c r="CW26" s="4">
        <f t="shared" si="24"/>
        <v>130</v>
      </c>
      <c r="CX26" s="6">
        <f t="shared" si="25"/>
        <v>10</v>
      </c>
      <c r="CY26" s="162">
        <v>4200</v>
      </c>
      <c r="CZ26" s="171">
        <f t="shared" si="26"/>
        <v>42000</v>
      </c>
      <c r="DB26" s="2">
        <f t="shared" si="34"/>
        <v>10</v>
      </c>
      <c r="DC26" s="61"/>
      <c r="DD26" s="143"/>
      <c r="DE26" s="149">
        <f t="shared" si="35"/>
        <v>10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10.920000000000019</v>
      </c>
      <c r="G27" s="62">
        <v>40</v>
      </c>
      <c r="H27" s="143">
        <f>2+2</f>
        <v>4</v>
      </c>
      <c r="I27" s="13">
        <f t="shared" si="0"/>
        <v>46.920000000000016</v>
      </c>
      <c r="J27" s="62">
        <v>40</v>
      </c>
      <c r="K27" s="143">
        <f>0.5+10+3+4.9</f>
        <v>18.399999999999999</v>
      </c>
      <c r="L27" s="13">
        <f t="shared" si="1"/>
        <v>68.52000000000001</v>
      </c>
      <c r="M27" s="62"/>
      <c r="N27" s="143">
        <f>6.4+2.5+1.3+1.9</f>
        <v>12.100000000000001</v>
      </c>
      <c r="O27" s="13">
        <f t="shared" si="2"/>
        <v>56.420000000000009</v>
      </c>
      <c r="P27" s="62"/>
      <c r="Q27" s="143"/>
      <c r="R27" s="30">
        <f t="shared" si="3"/>
        <v>56.420000000000009</v>
      </c>
      <c r="S27" s="62"/>
      <c r="T27" s="143">
        <f>6.3</f>
        <v>6.3</v>
      </c>
      <c r="U27" s="13">
        <f t="shared" si="4"/>
        <v>50.120000000000012</v>
      </c>
      <c r="V27" s="62"/>
      <c r="W27" s="143">
        <f>6.4+2+5.2+1.8+0.4+1.3+0.7+2.2</f>
        <v>20</v>
      </c>
      <c r="X27" s="13">
        <f t="shared" si="5"/>
        <v>30.120000000000012</v>
      </c>
      <c r="Y27" s="62">
        <v>40</v>
      </c>
      <c r="Z27" s="143">
        <f>2.5+2.3+1.4+2.5+0.9+3+5</f>
        <v>17.600000000000001</v>
      </c>
      <c r="AA27" s="13">
        <f t="shared" si="27"/>
        <v>52.52</v>
      </c>
      <c r="AB27" s="62"/>
      <c r="AC27" s="143">
        <f>0.2+0.4+0.2+0.2</f>
        <v>1</v>
      </c>
      <c r="AD27" s="13">
        <f t="shared" si="28"/>
        <v>51.52</v>
      </c>
      <c r="AE27" s="62"/>
      <c r="AF27" s="143">
        <f>1.1+1</f>
        <v>2.1</v>
      </c>
      <c r="AG27" s="13">
        <f t="shared" si="29"/>
        <v>49.42</v>
      </c>
      <c r="AH27" s="62"/>
      <c r="AI27" s="143">
        <f>4.2+2.6+0.5+0.6+1+2.1+2.5+2.2+1.8+1.4</f>
        <v>18.899999999999999</v>
      </c>
      <c r="AJ27" s="13">
        <f t="shared" si="30"/>
        <v>30.520000000000003</v>
      </c>
      <c r="AK27" s="62"/>
      <c r="AL27" s="143"/>
      <c r="AM27" s="13">
        <f t="shared" si="6"/>
        <v>30.520000000000003</v>
      </c>
      <c r="AN27" s="62">
        <v>20</v>
      </c>
      <c r="AO27" s="143">
        <f>10+3.9+1.3+1.5+2.9+1.2+1+1</f>
        <v>22.8</v>
      </c>
      <c r="AP27" s="13">
        <f t="shared" si="7"/>
        <v>27.720000000000002</v>
      </c>
      <c r="AQ27" s="62">
        <f>40+20</f>
        <v>60</v>
      </c>
      <c r="AR27" s="143">
        <f>2.7+1.4+0.9+0.8+0.8+1.4+4+5.2+1.4+0.9+1+0.8+1.5+5</f>
        <v>27.799999999999997</v>
      </c>
      <c r="AS27" s="13">
        <f t="shared" si="8"/>
        <v>59.92</v>
      </c>
      <c r="AT27" s="62"/>
      <c r="AU27" s="143">
        <v>4</v>
      </c>
      <c r="AV27" s="13">
        <f t="shared" si="9"/>
        <v>55.92</v>
      </c>
      <c r="AW27" s="62"/>
      <c r="AX27" s="143">
        <f>10+2+0.4+0.1+0.1+0.3+0.4+3.6+2.2</f>
        <v>19.100000000000001</v>
      </c>
      <c r="AY27" s="13">
        <f t="shared" si="10"/>
        <v>36.82</v>
      </c>
      <c r="AZ27" s="62"/>
      <c r="BA27" s="143">
        <f>1+2.3+1.3</f>
        <v>4.5999999999999996</v>
      </c>
      <c r="BB27" s="13">
        <f t="shared" si="11"/>
        <v>32.22</v>
      </c>
      <c r="BC27" s="62">
        <v>40</v>
      </c>
      <c r="BD27" s="143">
        <f>10+3.9+1.7+2.9+1.4+0.7+1.1+5+3.2+0.7</f>
        <v>30.599999999999998</v>
      </c>
      <c r="BE27" s="13">
        <f t="shared" si="12"/>
        <v>41.620000000000005</v>
      </c>
      <c r="BF27" s="62"/>
      <c r="BG27" s="143"/>
      <c r="BH27" s="13">
        <f t="shared" si="13"/>
        <v>41.620000000000005</v>
      </c>
      <c r="BI27" s="62"/>
      <c r="BJ27" s="143"/>
      <c r="BK27" s="13">
        <f t="shared" si="14"/>
        <v>41.620000000000005</v>
      </c>
      <c r="BL27" s="62">
        <v>60</v>
      </c>
      <c r="BM27" s="143">
        <f>1.4+2.5+2+1.1+1+6</f>
        <v>14</v>
      </c>
      <c r="BN27" s="13">
        <f t="shared" si="15"/>
        <v>87.62</v>
      </c>
      <c r="BO27" s="62"/>
      <c r="BP27" s="143">
        <f>5.3+1+1.3+0.8+1.6+1+1.2</f>
        <v>12.2</v>
      </c>
      <c r="BQ27" s="13">
        <f t="shared" si="16"/>
        <v>75.42</v>
      </c>
      <c r="BR27" s="62"/>
      <c r="BS27" s="143">
        <f>10+1.7+1.1+1.4+1+10+0.9+1</f>
        <v>27.099999999999998</v>
      </c>
      <c r="BT27" s="13">
        <f t="shared" si="17"/>
        <v>48.320000000000007</v>
      </c>
      <c r="BU27" s="62"/>
      <c r="BV27" s="143">
        <f>0.2+0.4+0.2+0.2+0.2</f>
        <v>1.2</v>
      </c>
      <c r="BW27" s="13">
        <f t="shared" si="18"/>
        <v>47.120000000000005</v>
      </c>
      <c r="BX27" s="62">
        <v>40</v>
      </c>
      <c r="BY27" s="143">
        <f>1+0.6+10+4.2</f>
        <v>15.8</v>
      </c>
      <c r="BZ27" s="13">
        <f t="shared" si="19"/>
        <v>71.320000000000007</v>
      </c>
      <c r="CA27" s="62"/>
      <c r="CB27" s="143"/>
      <c r="CC27" s="13">
        <f t="shared" si="20"/>
        <v>71.320000000000007</v>
      </c>
      <c r="CD27" s="62"/>
      <c r="CE27" s="143">
        <f>0.5+1.2+2+1+0.9+2.1+1.3+1.8+1.5+3.6</f>
        <v>15.900000000000002</v>
      </c>
      <c r="CF27" s="13">
        <f t="shared" si="21"/>
        <v>55.42</v>
      </c>
      <c r="CG27" s="62">
        <v>20</v>
      </c>
      <c r="CH27" s="143">
        <f>10+3.9+1.3+1.5+1.8+1.5+1+1+2.7+1.4+0.9+1.1+1.1+1.5+4+2.2+2.6+5</f>
        <v>44.500000000000007</v>
      </c>
      <c r="CI27" s="13">
        <f t="shared" si="31"/>
        <v>30.919999999999995</v>
      </c>
      <c r="CJ27" s="62"/>
      <c r="CK27" s="143"/>
      <c r="CL27" s="13">
        <f t="shared" si="32"/>
        <v>30.919999999999995</v>
      </c>
      <c r="CM27" s="62"/>
      <c r="CN27" s="143">
        <f>5.2+3.5+1.3+2.6+0.8+1</f>
        <v>14.4</v>
      </c>
      <c r="CO27" s="13">
        <f t="shared" si="22"/>
        <v>16.519999999999996</v>
      </c>
      <c r="CP27" s="61">
        <v>20</v>
      </c>
      <c r="CQ27" s="143">
        <f>2+0.2+0.2+1.5+0.5+2+0.3+0.3+1</f>
        <v>8</v>
      </c>
      <c r="CR27" s="13">
        <f t="shared" si="33"/>
        <v>28.519999999999996</v>
      </c>
      <c r="CS27" s="62">
        <v>20</v>
      </c>
      <c r="CT27" s="143">
        <f>0.4+0.6+10.1</f>
        <v>11.1</v>
      </c>
      <c r="CU27" s="14">
        <f t="shared" si="23"/>
        <v>37.419999999999995</v>
      </c>
      <c r="CV27" s="5">
        <f t="shared" si="24"/>
        <v>400</v>
      </c>
      <c r="CW27" s="4">
        <f t="shared" si="24"/>
        <v>373.49999999999994</v>
      </c>
      <c r="CX27" s="6">
        <f t="shared" si="25"/>
        <v>37.419999999999995</v>
      </c>
      <c r="CY27" s="162">
        <v>90</v>
      </c>
      <c r="CZ27" s="171">
        <f t="shared" si="26"/>
        <v>3367.7999999999997</v>
      </c>
      <c r="DB27" s="2">
        <f t="shared" si="34"/>
        <v>37.419999999999995</v>
      </c>
      <c r="DC27" s="61"/>
      <c r="DD27" s="143"/>
      <c r="DE27" s="149">
        <f t="shared" si="35"/>
        <v>37.419999999999995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0</v>
      </c>
      <c r="G28" s="62"/>
      <c r="H28" s="143"/>
      <c r="I28" s="13">
        <f t="shared" si="0"/>
        <v>0</v>
      </c>
      <c r="J28" s="62">
        <v>20</v>
      </c>
      <c r="K28" s="143"/>
      <c r="L28" s="13">
        <f t="shared" si="1"/>
        <v>20</v>
      </c>
      <c r="M28" s="62"/>
      <c r="N28" s="143"/>
      <c r="O28" s="13">
        <f t="shared" si="2"/>
        <v>20</v>
      </c>
      <c r="P28" s="62"/>
      <c r="Q28" s="143"/>
      <c r="R28" s="30">
        <f t="shared" si="3"/>
        <v>20</v>
      </c>
      <c r="S28" s="62"/>
      <c r="T28" s="143">
        <v>3</v>
      </c>
      <c r="U28" s="13">
        <f t="shared" si="4"/>
        <v>17</v>
      </c>
      <c r="V28" s="62"/>
      <c r="W28" s="143"/>
      <c r="X28" s="13">
        <f t="shared" si="5"/>
        <v>17</v>
      </c>
      <c r="Y28" s="62"/>
      <c r="Z28" s="143"/>
      <c r="AA28" s="13">
        <f t="shared" si="27"/>
        <v>17</v>
      </c>
      <c r="AB28" s="62"/>
      <c r="AC28" s="143">
        <v>2</v>
      </c>
      <c r="AD28" s="13">
        <f t="shared" si="28"/>
        <v>15</v>
      </c>
      <c r="AE28" s="62"/>
      <c r="AF28" s="143">
        <v>1</v>
      </c>
      <c r="AG28" s="13">
        <f t="shared" si="29"/>
        <v>14</v>
      </c>
      <c r="AH28" s="62"/>
      <c r="AI28" s="143"/>
      <c r="AJ28" s="13">
        <f t="shared" si="30"/>
        <v>14</v>
      </c>
      <c r="AK28" s="62"/>
      <c r="AL28" s="143"/>
      <c r="AM28" s="13">
        <f t="shared" si="6"/>
        <v>14</v>
      </c>
      <c r="AN28" s="62"/>
      <c r="AO28" s="143">
        <v>1</v>
      </c>
      <c r="AP28" s="13">
        <f t="shared" si="7"/>
        <v>13</v>
      </c>
      <c r="AQ28" s="62"/>
      <c r="AR28" s="143">
        <v>2.5</v>
      </c>
      <c r="AS28" s="13">
        <f t="shared" si="8"/>
        <v>10.5</v>
      </c>
      <c r="AT28" s="62"/>
      <c r="AU28" s="143"/>
      <c r="AV28" s="13">
        <f t="shared" si="9"/>
        <v>10.5</v>
      </c>
      <c r="AW28" s="62"/>
      <c r="AX28" s="143"/>
      <c r="AY28" s="13">
        <f t="shared" si="10"/>
        <v>10.5</v>
      </c>
      <c r="AZ28" s="62"/>
      <c r="BA28" s="143"/>
      <c r="BB28" s="13">
        <f t="shared" si="11"/>
        <v>10.5</v>
      </c>
      <c r="BC28" s="62"/>
      <c r="BD28" s="143"/>
      <c r="BE28" s="13">
        <f t="shared" si="12"/>
        <v>10.5</v>
      </c>
      <c r="BF28" s="62"/>
      <c r="BG28" s="143"/>
      <c r="BH28" s="13">
        <f t="shared" si="13"/>
        <v>10.5</v>
      </c>
      <c r="BI28" s="62"/>
      <c r="BJ28" s="143">
        <v>2</v>
      </c>
      <c r="BK28" s="13">
        <f t="shared" si="14"/>
        <v>8.5</v>
      </c>
      <c r="BL28" s="62"/>
      <c r="BM28" s="143">
        <v>0.5</v>
      </c>
      <c r="BN28" s="13">
        <f t="shared" si="15"/>
        <v>8</v>
      </c>
      <c r="BO28" s="62"/>
      <c r="BP28" s="143"/>
      <c r="BQ28" s="13">
        <f t="shared" si="16"/>
        <v>8</v>
      </c>
      <c r="BR28" s="62"/>
      <c r="BS28" s="143">
        <v>2</v>
      </c>
      <c r="BT28" s="13">
        <f t="shared" si="17"/>
        <v>6</v>
      </c>
      <c r="BU28" s="62"/>
      <c r="BV28" s="143">
        <v>1</v>
      </c>
      <c r="BW28" s="13">
        <f t="shared" si="18"/>
        <v>5</v>
      </c>
      <c r="BX28" s="62"/>
      <c r="BY28" s="143"/>
      <c r="BZ28" s="13">
        <f t="shared" si="19"/>
        <v>5</v>
      </c>
      <c r="CA28" s="62"/>
      <c r="CB28" s="143"/>
      <c r="CC28" s="13">
        <f t="shared" si="20"/>
        <v>5</v>
      </c>
      <c r="CD28" s="62"/>
      <c r="CE28" s="143">
        <v>1</v>
      </c>
      <c r="CF28" s="13">
        <f t="shared" si="21"/>
        <v>4</v>
      </c>
      <c r="CG28" s="62"/>
      <c r="CH28" s="143">
        <v>4</v>
      </c>
      <c r="CI28" s="13">
        <f t="shared" si="31"/>
        <v>0</v>
      </c>
      <c r="CJ28" s="62"/>
      <c r="CK28" s="143"/>
      <c r="CL28" s="13">
        <f t="shared" si="32"/>
        <v>0</v>
      </c>
      <c r="CM28" s="62"/>
      <c r="CN28" s="143"/>
      <c r="CO28" s="13">
        <f t="shared" si="22"/>
        <v>0</v>
      </c>
      <c r="CP28" s="61"/>
      <c r="CQ28" s="143"/>
      <c r="CR28" s="13">
        <f t="shared" si="33"/>
        <v>0</v>
      </c>
      <c r="CS28" s="62"/>
      <c r="CT28" s="143"/>
      <c r="CU28" s="14">
        <f t="shared" si="23"/>
        <v>0</v>
      </c>
      <c r="CV28" s="5">
        <f t="shared" si="24"/>
        <v>20</v>
      </c>
      <c r="CW28" s="4">
        <f t="shared" si="24"/>
        <v>20</v>
      </c>
      <c r="CX28" s="6">
        <f t="shared" si="25"/>
        <v>0</v>
      </c>
      <c r="CY28" s="162">
        <v>100</v>
      </c>
      <c r="CZ28" s="171">
        <f t="shared" si="26"/>
        <v>0</v>
      </c>
      <c r="DB28" s="2">
        <f t="shared" si="34"/>
        <v>0</v>
      </c>
      <c r="DC28" s="61"/>
      <c r="DD28" s="143"/>
      <c r="DE28" s="149">
        <f t="shared" si="35"/>
        <v>0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99</v>
      </c>
      <c r="G29" s="62">
        <f>50+50+40</f>
        <v>140</v>
      </c>
      <c r="H29" s="143">
        <f>6+7+86</f>
        <v>99</v>
      </c>
      <c r="I29" s="13">
        <f t="shared" si="0"/>
        <v>140</v>
      </c>
      <c r="J29" s="62">
        <f>50+60+60</f>
        <v>170</v>
      </c>
      <c r="K29" s="143">
        <f>3+6+7+91</f>
        <v>107</v>
      </c>
      <c r="L29" s="13">
        <f t="shared" si="1"/>
        <v>203</v>
      </c>
      <c r="M29" s="62">
        <f>60+40</f>
        <v>100</v>
      </c>
      <c r="N29" s="143">
        <f>9+9+156</f>
        <v>174</v>
      </c>
      <c r="O29" s="13">
        <f t="shared" si="2"/>
        <v>129</v>
      </c>
      <c r="P29" s="62">
        <v>80</v>
      </c>
      <c r="Q29" s="143"/>
      <c r="R29" s="30">
        <f t="shared" si="3"/>
        <v>209</v>
      </c>
      <c r="S29" s="62"/>
      <c r="T29" s="143">
        <f>7+6+74</f>
        <v>87</v>
      </c>
      <c r="U29" s="13">
        <f t="shared" si="4"/>
        <v>122</v>
      </c>
      <c r="V29" s="62"/>
      <c r="W29" s="143">
        <f>19+98</f>
        <v>117</v>
      </c>
      <c r="X29" s="13">
        <f>U29+V29-W29</f>
        <v>5</v>
      </c>
      <c r="Y29" s="62">
        <f>50+60</f>
        <v>110</v>
      </c>
      <c r="Z29" s="143"/>
      <c r="AA29" s="13">
        <f t="shared" si="27"/>
        <v>115</v>
      </c>
      <c r="AB29" s="62"/>
      <c r="AC29" s="143">
        <f>9+2+30</f>
        <v>41</v>
      </c>
      <c r="AD29" s="13">
        <f t="shared" si="28"/>
        <v>74</v>
      </c>
      <c r="AE29" s="62">
        <v>40</v>
      </c>
      <c r="AF29" s="143">
        <f>1+22+3</f>
        <v>26</v>
      </c>
      <c r="AG29" s="13">
        <f>AD29+AE29-AF29</f>
        <v>88</v>
      </c>
      <c r="AH29" s="62">
        <v>50</v>
      </c>
      <c r="AI29" s="143">
        <f>3+50+5</f>
        <v>58</v>
      </c>
      <c r="AJ29" s="13">
        <f t="shared" si="30"/>
        <v>80</v>
      </c>
      <c r="AK29" s="62"/>
      <c r="AL29" s="143"/>
      <c r="AM29" s="13">
        <f t="shared" si="6"/>
        <v>80</v>
      </c>
      <c r="AN29" s="62">
        <f>30+20</f>
        <v>50</v>
      </c>
      <c r="AO29" s="143">
        <f>2+1+43</f>
        <v>46</v>
      </c>
      <c r="AP29" s="13">
        <f t="shared" si="7"/>
        <v>84</v>
      </c>
      <c r="AQ29" s="62">
        <f>-11+40+30</f>
        <v>59</v>
      </c>
      <c r="AR29" s="143">
        <f>4+3+77+8</f>
        <v>92</v>
      </c>
      <c r="AS29" s="13">
        <f t="shared" si="8"/>
        <v>51</v>
      </c>
      <c r="AT29" s="62"/>
      <c r="AU29" s="143"/>
      <c r="AV29" s="13">
        <f t="shared" si="9"/>
        <v>51</v>
      </c>
      <c r="AW29" s="62">
        <f>-9+20+40+20</f>
        <v>71</v>
      </c>
      <c r="AX29" s="143">
        <f>4+3+44</f>
        <v>51</v>
      </c>
      <c r="AY29" s="13">
        <f t="shared" si="10"/>
        <v>71</v>
      </c>
      <c r="AZ29" s="62">
        <f>40+20</f>
        <v>60</v>
      </c>
      <c r="BA29" s="143">
        <f>6+6+38+3</f>
        <v>53</v>
      </c>
      <c r="BB29" s="13">
        <f t="shared" si="11"/>
        <v>78</v>
      </c>
      <c r="BC29" s="62">
        <v>50</v>
      </c>
      <c r="BD29" s="143">
        <f>2+10+54</f>
        <v>66</v>
      </c>
      <c r="BE29" s="13">
        <f t="shared" si="12"/>
        <v>62</v>
      </c>
      <c r="BF29" s="62"/>
      <c r="BG29" s="143"/>
      <c r="BH29" s="13">
        <f t="shared" si="13"/>
        <v>62</v>
      </c>
      <c r="BI29" s="62">
        <f>40+10+20</f>
        <v>70</v>
      </c>
      <c r="BJ29" s="143">
        <f>3+4+50</f>
        <v>57</v>
      </c>
      <c r="BK29" s="13">
        <f t="shared" si="14"/>
        <v>75</v>
      </c>
      <c r="BL29" s="62">
        <f>-30+30+30+30</f>
        <v>60</v>
      </c>
      <c r="BM29" s="143">
        <f>3+8+64</f>
        <v>75</v>
      </c>
      <c r="BN29" s="13">
        <f t="shared" si="15"/>
        <v>60</v>
      </c>
      <c r="BO29" s="62"/>
      <c r="BP29" s="143"/>
      <c r="BQ29" s="13">
        <f t="shared" si="16"/>
        <v>60</v>
      </c>
      <c r="BR29" s="62">
        <f>40+20</f>
        <v>60</v>
      </c>
      <c r="BS29" s="143">
        <f>3+8+4+38</f>
        <v>53</v>
      </c>
      <c r="BT29" s="13">
        <f t="shared" si="17"/>
        <v>67</v>
      </c>
      <c r="BU29" s="62">
        <v>50</v>
      </c>
      <c r="BV29" s="143">
        <f>3+4+24</f>
        <v>31</v>
      </c>
      <c r="BW29" s="13">
        <f t="shared" si="18"/>
        <v>86</v>
      </c>
      <c r="BX29" s="62">
        <f>-6+30+20</f>
        <v>44</v>
      </c>
      <c r="BY29" s="143">
        <f>6+75</f>
        <v>81</v>
      </c>
      <c r="BZ29" s="13">
        <f t="shared" si="19"/>
        <v>49</v>
      </c>
      <c r="CA29" s="62"/>
      <c r="CB29" s="143"/>
      <c r="CC29" s="13">
        <f t="shared" si="20"/>
        <v>49</v>
      </c>
      <c r="CD29" s="62">
        <f>-9+50+10+20</f>
        <v>71</v>
      </c>
      <c r="CE29" s="143">
        <f>5+3+3+38</f>
        <v>49</v>
      </c>
      <c r="CF29" s="13">
        <f t="shared" si="21"/>
        <v>71</v>
      </c>
      <c r="CG29" s="62">
        <f>-25+50+30</f>
        <v>55</v>
      </c>
      <c r="CH29" s="143">
        <f>4+9+58</f>
        <v>71</v>
      </c>
      <c r="CI29" s="13">
        <f t="shared" si="31"/>
        <v>55</v>
      </c>
      <c r="CJ29" s="62"/>
      <c r="CK29" s="143">
        <f>8</f>
        <v>8</v>
      </c>
      <c r="CL29" s="13">
        <f t="shared" si="32"/>
        <v>47</v>
      </c>
      <c r="CM29" s="62">
        <f>-19+23+60</f>
        <v>64</v>
      </c>
      <c r="CN29" s="143">
        <f>3+3+4+37</f>
        <v>47</v>
      </c>
      <c r="CO29" s="13">
        <f t="shared" si="22"/>
        <v>64</v>
      </c>
      <c r="CP29" s="61">
        <v>60</v>
      </c>
      <c r="CQ29" s="143">
        <f>3+3+54</f>
        <v>60</v>
      </c>
      <c r="CR29" s="13">
        <f t="shared" si="33"/>
        <v>64</v>
      </c>
      <c r="CS29" s="62">
        <f>-3+20</f>
        <v>17</v>
      </c>
      <c r="CT29" s="143">
        <f>3+5+10+46</f>
        <v>64</v>
      </c>
      <c r="CU29" s="14">
        <f t="shared" si="23"/>
        <v>17</v>
      </c>
      <c r="CV29" s="5">
        <f t="shared" si="24"/>
        <v>1531</v>
      </c>
      <c r="CW29" s="4">
        <f t="shared" si="24"/>
        <v>1613</v>
      </c>
      <c r="CX29" s="6">
        <f t="shared" si="25"/>
        <v>17</v>
      </c>
      <c r="CY29" s="162">
        <v>90</v>
      </c>
      <c r="CZ29" s="171">
        <f t="shared" si="26"/>
        <v>1530</v>
      </c>
      <c r="DB29" s="2">
        <f t="shared" si="34"/>
        <v>17</v>
      </c>
      <c r="DC29" s="61"/>
      <c r="DD29" s="143"/>
      <c r="DE29" s="149">
        <f t="shared" si="35"/>
        <v>17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1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1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95</v>
      </c>
      <c r="G32" s="62">
        <v>168</v>
      </c>
      <c r="H32" s="143">
        <f>8+65</f>
        <v>73</v>
      </c>
      <c r="I32" s="13">
        <f t="shared" si="0"/>
        <v>190</v>
      </c>
      <c r="J32" s="62">
        <f>-72+192</f>
        <v>120</v>
      </c>
      <c r="K32" s="143">
        <f>8+6+101+2</f>
        <v>117</v>
      </c>
      <c r="L32" s="13">
        <f t="shared" si="1"/>
        <v>193</v>
      </c>
      <c r="M32" s="62">
        <f>-48+144</f>
        <v>96</v>
      </c>
      <c r="N32" s="143">
        <f>12+171</f>
        <v>183</v>
      </c>
      <c r="O32" s="13">
        <f t="shared" si="2"/>
        <v>106</v>
      </c>
      <c r="P32" s="62">
        <f>72+48</f>
        <v>120</v>
      </c>
      <c r="Q32" s="143"/>
      <c r="R32" s="30">
        <f t="shared" si="3"/>
        <v>226</v>
      </c>
      <c r="S32" s="62"/>
      <c r="T32" s="143">
        <f>8+71</f>
        <v>79</v>
      </c>
      <c r="U32" s="13">
        <f t="shared" si="4"/>
        <v>147</v>
      </c>
      <c r="V32" s="62"/>
      <c r="W32" s="143">
        <f>8+111+8</f>
        <v>127</v>
      </c>
      <c r="X32" s="13">
        <f t="shared" si="5"/>
        <v>20</v>
      </c>
      <c r="Y32" s="62">
        <v>72</v>
      </c>
      <c r="Z32" s="143"/>
      <c r="AA32" s="13">
        <f t="shared" si="27"/>
        <v>92</v>
      </c>
      <c r="AB32" s="62">
        <v>24</v>
      </c>
      <c r="AC32" s="143">
        <f>8+28</f>
        <v>36</v>
      </c>
      <c r="AD32" s="13">
        <f t="shared" si="28"/>
        <v>80</v>
      </c>
      <c r="AE32" s="62"/>
      <c r="AF32" s="143">
        <f>8+38</f>
        <v>46</v>
      </c>
      <c r="AG32" s="13">
        <f t="shared" si="29"/>
        <v>34</v>
      </c>
      <c r="AH32" s="62">
        <f>-40+2+120</f>
        <v>82</v>
      </c>
      <c r="AI32" s="143">
        <f>10+24</f>
        <v>34</v>
      </c>
      <c r="AJ32" s="13">
        <f t="shared" si="30"/>
        <v>82</v>
      </c>
      <c r="AK32" s="62"/>
      <c r="AL32" s="143"/>
      <c r="AM32" s="13">
        <f t="shared" si="6"/>
        <v>82</v>
      </c>
      <c r="AN32" s="62">
        <f>-17+96</f>
        <v>79</v>
      </c>
      <c r="AO32" s="143">
        <f>9+73</f>
        <v>82</v>
      </c>
      <c r="AP32" s="13">
        <f t="shared" si="7"/>
        <v>79</v>
      </c>
      <c r="AQ32" s="62">
        <f>-24+24+72</f>
        <v>72</v>
      </c>
      <c r="AR32" s="143">
        <f>12+62+15</f>
        <v>89</v>
      </c>
      <c r="AS32" s="13">
        <f t="shared" si="8"/>
        <v>62</v>
      </c>
      <c r="AT32" s="62"/>
      <c r="AU32" s="143"/>
      <c r="AV32" s="13">
        <f t="shared" si="9"/>
        <v>62</v>
      </c>
      <c r="AW32" s="62">
        <f>-10+96</f>
        <v>86</v>
      </c>
      <c r="AX32" s="143">
        <f>8+54+2</f>
        <v>64</v>
      </c>
      <c r="AY32" s="13">
        <f t="shared" si="10"/>
        <v>84</v>
      </c>
      <c r="AZ32" s="62">
        <f>-14+72</f>
        <v>58</v>
      </c>
      <c r="BA32" s="143">
        <f>12+72</f>
        <v>84</v>
      </c>
      <c r="BB32" s="13">
        <f t="shared" si="11"/>
        <v>58</v>
      </c>
      <c r="BC32" s="62">
        <f>-15+24+72</f>
        <v>81</v>
      </c>
      <c r="BD32" s="143">
        <f>8+50+17</f>
        <v>75</v>
      </c>
      <c r="BE32" s="13">
        <f t="shared" si="12"/>
        <v>64</v>
      </c>
      <c r="BF32" s="62"/>
      <c r="BG32" s="143"/>
      <c r="BH32" s="13">
        <f t="shared" si="13"/>
        <v>64</v>
      </c>
      <c r="BI32" s="62">
        <f>-24+96</f>
        <v>72</v>
      </c>
      <c r="BJ32" s="143">
        <f>8+53</f>
        <v>61</v>
      </c>
      <c r="BK32" s="13">
        <f t="shared" si="14"/>
        <v>75</v>
      </c>
      <c r="BL32" s="62">
        <f>-26+72</f>
        <v>46</v>
      </c>
      <c r="BM32" s="143">
        <f>7+3+65</f>
        <v>75</v>
      </c>
      <c r="BN32" s="13">
        <f t="shared" si="15"/>
        <v>46</v>
      </c>
      <c r="BO32" s="62"/>
      <c r="BP32" s="143"/>
      <c r="BQ32" s="13">
        <f t="shared" si="16"/>
        <v>46</v>
      </c>
      <c r="BR32" s="62">
        <v>72</v>
      </c>
      <c r="BS32" s="143">
        <f>4+37</f>
        <v>41</v>
      </c>
      <c r="BT32" s="13">
        <f t="shared" si="17"/>
        <v>77</v>
      </c>
      <c r="BU32" s="62">
        <v>72</v>
      </c>
      <c r="BV32" s="143">
        <f>4+71</f>
        <v>75</v>
      </c>
      <c r="BW32" s="13">
        <f t="shared" si="18"/>
        <v>74</v>
      </c>
      <c r="BX32" s="62">
        <f>-59+120</f>
        <v>61</v>
      </c>
      <c r="BY32" s="143">
        <f>12+62</f>
        <v>74</v>
      </c>
      <c r="BZ32" s="13">
        <f t="shared" si="19"/>
        <v>61</v>
      </c>
      <c r="CA32" s="62"/>
      <c r="CB32" s="143"/>
      <c r="CC32" s="13">
        <f t="shared" si="20"/>
        <v>61</v>
      </c>
      <c r="CD32" s="62">
        <f>-6+96</f>
        <v>90</v>
      </c>
      <c r="CE32" s="143">
        <f>12+49</f>
        <v>61</v>
      </c>
      <c r="CF32" s="13">
        <f t="shared" si="21"/>
        <v>90</v>
      </c>
      <c r="CG32" s="62">
        <v>48</v>
      </c>
      <c r="CH32" s="143">
        <f>6+66</f>
        <v>72</v>
      </c>
      <c r="CI32" s="13">
        <f t="shared" si="31"/>
        <v>66</v>
      </c>
      <c r="CJ32" s="62"/>
      <c r="CK32" s="143"/>
      <c r="CL32" s="13">
        <f t="shared" si="32"/>
        <v>66</v>
      </c>
      <c r="CM32" s="62">
        <f>-4+72</f>
        <v>68</v>
      </c>
      <c r="CN32" s="143">
        <f>15+6+45</f>
        <v>66</v>
      </c>
      <c r="CO32" s="13">
        <f t="shared" si="22"/>
        <v>68</v>
      </c>
      <c r="CP32" s="61">
        <f>-5+72</f>
        <v>67</v>
      </c>
      <c r="CQ32" s="143">
        <f>6+2+60</f>
        <v>68</v>
      </c>
      <c r="CR32" s="13">
        <f t="shared" si="33"/>
        <v>67</v>
      </c>
      <c r="CS32" s="62">
        <f>-28+48</f>
        <v>20</v>
      </c>
      <c r="CT32" s="143">
        <f>9+58</f>
        <v>67</v>
      </c>
      <c r="CU32" s="14">
        <f t="shared" si="23"/>
        <v>20</v>
      </c>
      <c r="CV32" s="5">
        <f t="shared" si="24"/>
        <v>1674</v>
      </c>
      <c r="CW32" s="4">
        <f t="shared" si="24"/>
        <v>1749</v>
      </c>
      <c r="CX32" s="6">
        <f t="shared" si="25"/>
        <v>20</v>
      </c>
      <c r="CY32" s="162">
        <v>75</v>
      </c>
      <c r="CZ32" s="171">
        <f t="shared" si="26"/>
        <v>1500</v>
      </c>
      <c r="DB32" s="2">
        <f t="shared" si="34"/>
        <v>20</v>
      </c>
      <c r="DC32" s="61"/>
      <c r="DD32" s="143"/>
      <c r="DE32" s="149">
        <f t="shared" si="35"/>
        <v>20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1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1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>
        <v>8</v>
      </c>
      <c r="K35" s="143">
        <v>3</v>
      </c>
      <c r="L35" s="13">
        <f>I35+J35-K35</f>
        <v>5</v>
      </c>
      <c r="M35" s="62">
        <v>10</v>
      </c>
      <c r="N35" s="143">
        <v>2</v>
      </c>
      <c r="O35" s="13">
        <f t="shared" si="2"/>
        <v>13</v>
      </c>
      <c r="P35" s="62"/>
      <c r="Q35" s="143"/>
      <c r="R35" s="30">
        <f t="shared" si="3"/>
        <v>13</v>
      </c>
      <c r="S35" s="62"/>
      <c r="T35" s="143">
        <f>3</f>
        <v>3</v>
      </c>
      <c r="U35" s="13">
        <f t="shared" si="4"/>
        <v>10</v>
      </c>
      <c r="V35" s="62"/>
      <c r="W35" s="143">
        <v>10</v>
      </c>
      <c r="X35" s="13">
        <f t="shared" si="5"/>
        <v>0</v>
      </c>
      <c r="Y35" s="62">
        <v>6</v>
      </c>
      <c r="Z35" s="143"/>
      <c r="AA35" s="13">
        <f t="shared" si="27"/>
        <v>6</v>
      </c>
      <c r="AB35" s="62">
        <v>1</v>
      </c>
      <c r="AC35" s="143">
        <v>6</v>
      </c>
      <c r="AD35" s="13">
        <f t="shared" si="28"/>
        <v>1</v>
      </c>
      <c r="AE35" s="62">
        <f>-1+16</f>
        <v>15</v>
      </c>
      <c r="AF35" s="143">
        <v>1</v>
      </c>
      <c r="AG35" s="13">
        <f t="shared" si="29"/>
        <v>15</v>
      </c>
      <c r="AH35" s="62">
        <f>-5+25</f>
        <v>20</v>
      </c>
      <c r="AI35" s="143">
        <f>15</f>
        <v>15</v>
      </c>
      <c r="AJ35" s="13">
        <f t="shared" si="30"/>
        <v>20</v>
      </c>
      <c r="AK35" s="62"/>
      <c r="AL35" s="143"/>
      <c r="AM35" s="13">
        <f t="shared" si="6"/>
        <v>20</v>
      </c>
      <c r="AN35" s="62">
        <v>2</v>
      </c>
      <c r="AO35" s="143">
        <v>7</v>
      </c>
      <c r="AP35" s="13">
        <f t="shared" si="7"/>
        <v>15</v>
      </c>
      <c r="AQ35" s="62">
        <v>1</v>
      </c>
      <c r="AR35" s="143">
        <f>4+2</f>
        <v>6</v>
      </c>
      <c r="AS35" s="13">
        <f t="shared" si="8"/>
        <v>10</v>
      </c>
      <c r="AT35" s="62"/>
      <c r="AU35" s="143"/>
      <c r="AV35" s="13">
        <f t="shared" si="9"/>
        <v>10</v>
      </c>
      <c r="AW35" s="62">
        <f>-3+4</f>
        <v>1</v>
      </c>
      <c r="AX35" s="143">
        <f>10</f>
        <v>10</v>
      </c>
      <c r="AY35" s="13">
        <f t="shared" si="10"/>
        <v>1</v>
      </c>
      <c r="AZ35" s="62">
        <v>11</v>
      </c>
      <c r="BA35" s="143">
        <v>1</v>
      </c>
      <c r="BB35" s="13">
        <f t="shared" si="11"/>
        <v>11</v>
      </c>
      <c r="BC35" s="62">
        <v>8</v>
      </c>
      <c r="BD35" s="143">
        <v>11</v>
      </c>
      <c r="BE35" s="13">
        <f t="shared" si="12"/>
        <v>8</v>
      </c>
      <c r="BF35" s="62"/>
      <c r="BG35" s="143"/>
      <c r="BH35" s="13">
        <f t="shared" si="13"/>
        <v>8</v>
      </c>
      <c r="BI35" s="62">
        <f>-4+4+4</f>
        <v>4</v>
      </c>
      <c r="BJ35" s="143">
        <f>8</f>
        <v>8</v>
      </c>
      <c r="BK35" s="13">
        <f t="shared" si="14"/>
        <v>4</v>
      </c>
      <c r="BL35" s="62">
        <f>-2+10</f>
        <v>8</v>
      </c>
      <c r="BM35" s="143">
        <f>4</f>
        <v>4</v>
      </c>
      <c r="BN35" s="13">
        <f t="shared" si="15"/>
        <v>8</v>
      </c>
      <c r="BO35" s="62"/>
      <c r="BP35" s="143"/>
      <c r="BQ35" s="13">
        <f t="shared" si="16"/>
        <v>8</v>
      </c>
      <c r="BR35" s="62"/>
      <c r="BS35" s="143">
        <v>7</v>
      </c>
      <c r="BT35" s="13">
        <f t="shared" si="17"/>
        <v>1</v>
      </c>
      <c r="BU35" s="62">
        <v>9</v>
      </c>
      <c r="BV35" s="143"/>
      <c r="BW35" s="13">
        <f t="shared" si="18"/>
        <v>10</v>
      </c>
      <c r="BX35" s="62">
        <v>4</v>
      </c>
      <c r="BY35" s="143">
        <v>10</v>
      </c>
      <c r="BZ35" s="13">
        <f t="shared" si="19"/>
        <v>4</v>
      </c>
      <c r="CA35" s="62"/>
      <c r="CB35" s="143"/>
      <c r="CC35" s="13">
        <f t="shared" si="20"/>
        <v>4</v>
      </c>
      <c r="CD35" s="62">
        <f>-6+7+1</f>
        <v>2</v>
      </c>
      <c r="CE35" s="143">
        <v>4</v>
      </c>
      <c r="CF35" s="13">
        <f t="shared" si="21"/>
        <v>2</v>
      </c>
      <c r="CG35" s="62">
        <v>8</v>
      </c>
      <c r="CH35" s="143">
        <v>2</v>
      </c>
      <c r="CI35" s="13">
        <f t="shared" si="31"/>
        <v>8</v>
      </c>
      <c r="CJ35" s="62"/>
      <c r="CK35" s="143"/>
      <c r="CL35" s="13">
        <f t="shared" si="32"/>
        <v>8</v>
      </c>
      <c r="CM35" s="62"/>
      <c r="CN35" s="143">
        <v>6</v>
      </c>
      <c r="CO35" s="13">
        <f t="shared" si="22"/>
        <v>2</v>
      </c>
      <c r="CP35" s="61"/>
      <c r="CQ35" s="143">
        <v>2</v>
      </c>
      <c r="CR35" s="13">
        <f t="shared" si="33"/>
        <v>0</v>
      </c>
      <c r="CS35" s="62"/>
      <c r="CT35" s="143"/>
      <c r="CU35" s="14">
        <f t="shared" si="23"/>
        <v>0</v>
      </c>
      <c r="CV35" s="5">
        <f t="shared" si="24"/>
        <v>118</v>
      </c>
      <c r="CW35" s="4">
        <f t="shared" si="24"/>
        <v>118</v>
      </c>
      <c r="CX35" s="6">
        <f t="shared" si="25"/>
        <v>0</v>
      </c>
      <c r="CY35" s="162">
        <v>450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16</v>
      </c>
      <c r="G36" s="62">
        <f>4+4+5</f>
        <v>13</v>
      </c>
      <c r="H36" s="143">
        <f>9</f>
        <v>9</v>
      </c>
      <c r="I36" s="13">
        <f t="shared" si="0"/>
        <v>20</v>
      </c>
      <c r="J36" s="62">
        <f>4+4+8</f>
        <v>16</v>
      </c>
      <c r="K36" s="143">
        <v>5</v>
      </c>
      <c r="L36" s="13">
        <f t="shared" si="1"/>
        <v>31</v>
      </c>
      <c r="M36" s="62">
        <f>4+4+8</f>
        <v>16</v>
      </c>
      <c r="N36" s="143">
        <f>10+7</f>
        <v>17</v>
      </c>
      <c r="O36" s="13">
        <f t="shared" si="2"/>
        <v>30</v>
      </c>
      <c r="P36" s="62"/>
      <c r="Q36" s="143"/>
      <c r="R36" s="30">
        <f t="shared" si="3"/>
        <v>30</v>
      </c>
      <c r="S36" s="62"/>
      <c r="T36" s="143">
        <f>7+4</f>
        <v>11</v>
      </c>
      <c r="U36" s="13">
        <f t="shared" si="4"/>
        <v>19</v>
      </c>
      <c r="V36" s="62"/>
      <c r="W36" s="143">
        <f>8+3</f>
        <v>11</v>
      </c>
      <c r="X36" s="13">
        <f t="shared" si="5"/>
        <v>8</v>
      </c>
      <c r="Y36" s="62">
        <f>4+4</f>
        <v>8</v>
      </c>
      <c r="Z36" s="143"/>
      <c r="AA36" s="13">
        <f t="shared" si="27"/>
        <v>16</v>
      </c>
      <c r="AB36" s="62">
        <f>4+4</f>
        <v>8</v>
      </c>
      <c r="AC36" s="143">
        <v>4</v>
      </c>
      <c r="AD36" s="13">
        <f t="shared" si="28"/>
        <v>20</v>
      </c>
      <c r="AE36" s="62">
        <f>4+4</f>
        <v>8</v>
      </c>
      <c r="AF36" s="143">
        <v>6</v>
      </c>
      <c r="AG36" s="13">
        <f t="shared" si="29"/>
        <v>22</v>
      </c>
      <c r="AH36" s="62">
        <f>4+4</f>
        <v>8</v>
      </c>
      <c r="AI36" s="143">
        <f>4+5+1</f>
        <v>10</v>
      </c>
      <c r="AJ36" s="13">
        <f t="shared" si="30"/>
        <v>20</v>
      </c>
      <c r="AK36" s="62"/>
      <c r="AL36" s="143"/>
      <c r="AM36" s="13">
        <f t="shared" si="6"/>
        <v>20</v>
      </c>
      <c r="AN36" s="62">
        <v>8</v>
      </c>
      <c r="AO36" s="143">
        <f>5+1</f>
        <v>6</v>
      </c>
      <c r="AP36" s="13">
        <f t="shared" si="7"/>
        <v>22</v>
      </c>
      <c r="AQ36" s="62">
        <f>4+4</f>
        <v>8</v>
      </c>
      <c r="AR36" s="143">
        <f>6+1</f>
        <v>7</v>
      </c>
      <c r="AS36" s="13">
        <f t="shared" si="8"/>
        <v>23</v>
      </c>
      <c r="AT36" s="62"/>
      <c r="AU36" s="143">
        <v>3</v>
      </c>
      <c r="AV36" s="13">
        <f t="shared" si="9"/>
        <v>20</v>
      </c>
      <c r="AW36" s="62">
        <v>8</v>
      </c>
      <c r="AX36" s="143">
        <v>8</v>
      </c>
      <c r="AY36" s="13">
        <f t="shared" si="10"/>
        <v>20</v>
      </c>
      <c r="AZ36" s="62">
        <f>4+4</f>
        <v>8</v>
      </c>
      <c r="BA36" s="143">
        <v>7</v>
      </c>
      <c r="BB36" s="13">
        <f t="shared" si="11"/>
        <v>21</v>
      </c>
      <c r="BC36" s="62">
        <f>4+4</f>
        <v>8</v>
      </c>
      <c r="BD36" s="143">
        <v>5</v>
      </c>
      <c r="BE36" s="13">
        <f t="shared" si="12"/>
        <v>24</v>
      </c>
      <c r="BF36" s="62"/>
      <c r="BG36" s="143"/>
      <c r="BH36" s="13">
        <f t="shared" si="13"/>
        <v>24</v>
      </c>
      <c r="BI36" s="62">
        <f>4+4</f>
        <v>8</v>
      </c>
      <c r="BJ36" s="143">
        <v>5</v>
      </c>
      <c r="BK36" s="13">
        <f t="shared" si="14"/>
        <v>27</v>
      </c>
      <c r="BL36" s="62">
        <f>4+4</f>
        <v>8</v>
      </c>
      <c r="BM36" s="143">
        <f>1+7+9</f>
        <v>17</v>
      </c>
      <c r="BN36" s="13">
        <f t="shared" si="15"/>
        <v>18</v>
      </c>
      <c r="BO36" s="62"/>
      <c r="BP36" s="143"/>
      <c r="BQ36" s="13">
        <f t="shared" si="16"/>
        <v>18</v>
      </c>
      <c r="BR36" s="62">
        <v>8</v>
      </c>
      <c r="BS36" s="143">
        <v>4</v>
      </c>
      <c r="BT36" s="13">
        <f t="shared" si="17"/>
        <v>22</v>
      </c>
      <c r="BU36" s="62">
        <f>4+4</f>
        <v>8</v>
      </c>
      <c r="BV36" s="143">
        <v>3</v>
      </c>
      <c r="BW36" s="13">
        <f t="shared" si="18"/>
        <v>27</v>
      </c>
      <c r="BX36" s="62">
        <f>4+4</f>
        <v>8</v>
      </c>
      <c r="BY36" s="143">
        <f>1+6+5</f>
        <v>12</v>
      </c>
      <c r="BZ36" s="13">
        <f t="shared" si="19"/>
        <v>23</v>
      </c>
      <c r="CA36" s="62"/>
      <c r="CB36" s="143"/>
      <c r="CC36" s="13">
        <f t="shared" si="20"/>
        <v>23</v>
      </c>
      <c r="CD36" s="62">
        <f>4+4+1</f>
        <v>9</v>
      </c>
      <c r="CE36" s="143">
        <f>1+2</f>
        <v>3</v>
      </c>
      <c r="CF36" s="13">
        <f t="shared" si="21"/>
        <v>29</v>
      </c>
      <c r="CG36" s="62">
        <f>4+4</f>
        <v>8</v>
      </c>
      <c r="CH36" s="143">
        <v>9</v>
      </c>
      <c r="CI36" s="13">
        <f t="shared" si="31"/>
        <v>28</v>
      </c>
      <c r="CJ36" s="62"/>
      <c r="CK36" s="143">
        <v>1</v>
      </c>
      <c r="CL36" s="13">
        <f t="shared" si="32"/>
        <v>27</v>
      </c>
      <c r="CM36" s="62">
        <v>8</v>
      </c>
      <c r="CN36" s="143">
        <v>6</v>
      </c>
      <c r="CO36" s="13">
        <f t="shared" si="22"/>
        <v>29</v>
      </c>
      <c r="CP36" s="61">
        <f>4+4</f>
        <v>8</v>
      </c>
      <c r="CQ36" s="143">
        <v>4</v>
      </c>
      <c r="CR36" s="13">
        <f t="shared" si="33"/>
        <v>33</v>
      </c>
      <c r="CS36" s="62">
        <f>4+4</f>
        <v>8</v>
      </c>
      <c r="CT36" s="143">
        <v>5</v>
      </c>
      <c r="CU36" s="14">
        <f t="shared" si="23"/>
        <v>36</v>
      </c>
      <c r="CV36" s="5">
        <f t="shared" si="24"/>
        <v>198</v>
      </c>
      <c r="CW36" s="4">
        <f t="shared" si="24"/>
        <v>178</v>
      </c>
      <c r="CX36" s="6">
        <f t="shared" si="25"/>
        <v>36</v>
      </c>
      <c r="CY36" s="162">
        <v>1800</v>
      </c>
      <c r="CZ36" s="171">
        <f t="shared" si="26"/>
        <v>64800</v>
      </c>
      <c r="DB36" s="2">
        <f t="shared" si="34"/>
        <v>36</v>
      </c>
      <c r="DC36" s="61"/>
      <c r="DD36" s="143"/>
      <c r="DE36" s="149">
        <f t="shared" si="35"/>
        <v>36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1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19</v>
      </c>
      <c r="G39" s="62">
        <v>30</v>
      </c>
      <c r="H39" s="143">
        <f>2+8</f>
        <v>10</v>
      </c>
      <c r="I39" s="13">
        <f t="shared" si="0"/>
        <v>39</v>
      </c>
      <c r="J39" s="62"/>
      <c r="K39" s="143">
        <f>1+4</f>
        <v>5</v>
      </c>
      <c r="L39" s="13">
        <f t="shared" si="1"/>
        <v>34</v>
      </c>
      <c r="M39" s="62">
        <v>10</v>
      </c>
      <c r="N39" s="143">
        <f>2+12</f>
        <v>14</v>
      </c>
      <c r="O39" s="13">
        <f t="shared" si="2"/>
        <v>30</v>
      </c>
      <c r="P39" s="62"/>
      <c r="Q39" s="143"/>
      <c r="R39" s="30">
        <f t="shared" si="3"/>
        <v>30</v>
      </c>
      <c r="S39" s="62"/>
      <c r="T39" s="143">
        <f>6</f>
        <v>6</v>
      </c>
      <c r="U39" s="13">
        <f t="shared" si="4"/>
        <v>24</v>
      </c>
      <c r="V39" s="62"/>
      <c r="W39" s="143">
        <f>11</f>
        <v>11</v>
      </c>
      <c r="X39" s="13">
        <f t="shared" si="5"/>
        <v>13</v>
      </c>
      <c r="Y39" s="62"/>
      <c r="Z39" s="143">
        <v>2</v>
      </c>
      <c r="AA39" s="13">
        <f t="shared" si="27"/>
        <v>11</v>
      </c>
      <c r="AB39" s="62">
        <v>10</v>
      </c>
      <c r="AC39" s="143">
        <f>2+6</f>
        <v>8</v>
      </c>
      <c r="AD39" s="13">
        <f t="shared" si="28"/>
        <v>13</v>
      </c>
      <c r="AE39" s="62">
        <v>10</v>
      </c>
      <c r="AF39" s="143">
        <f>9+5</f>
        <v>14</v>
      </c>
      <c r="AG39" s="13">
        <f t="shared" si="29"/>
        <v>9</v>
      </c>
      <c r="AH39" s="62">
        <v>10</v>
      </c>
      <c r="AI39" s="143">
        <f>2+2+4+7</f>
        <v>15</v>
      </c>
      <c r="AJ39" s="13">
        <f t="shared" si="30"/>
        <v>4</v>
      </c>
      <c r="AK39" s="62"/>
      <c r="AL39" s="143"/>
      <c r="AM39" s="13">
        <f t="shared" si="6"/>
        <v>4</v>
      </c>
      <c r="AN39" s="62"/>
      <c r="AO39" s="143"/>
      <c r="AP39" s="13">
        <f t="shared" si="7"/>
        <v>4</v>
      </c>
      <c r="AQ39" s="62">
        <f>-1+10</f>
        <v>9</v>
      </c>
      <c r="AR39" s="143">
        <v>8</v>
      </c>
      <c r="AS39" s="13">
        <f t="shared" si="8"/>
        <v>5</v>
      </c>
      <c r="AT39" s="62"/>
      <c r="AU39" s="143"/>
      <c r="AV39" s="13">
        <f t="shared" si="9"/>
        <v>5</v>
      </c>
      <c r="AW39" s="62"/>
      <c r="AX39" s="143">
        <v>1</v>
      </c>
      <c r="AY39" s="13">
        <f t="shared" si="10"/>
        <v>4</v>
      </c>
      <c r="AZ39" s="62"/>
      <c r="BA39" s="143"/>
      <c r="BB39" s="13">
        <f t="shared" si="11"/>
        <v>4</v>
      </c>
      <c r="BC39" s="62">
        <f>-4+10</f>
        <v>6</v>
      </c>
      <c r="BD39" s="143">
        <v>4</v>
      </c>
      <c r="BE39" s="13">
        <f t="shared" si="12"/>
        <v>6</v>
      </c>
      <c r="BF39" s="62"/>
      <c r="BG39" s="143"/>
      <c r="BH39" s="13">
        <f t="shared" si="13"/>
        <v>6</v>
      </c>
      <c r="BI39" s="62">
        <v>10</v>
      </c>
      <c r="BJ39" s="143">
        <v>4</v>
      </c>
      <c r="BK39" s="13">
        <f t="shared" si="14"/>
        <v>12</v>
      </c>
      <c r="BL39" s="62"/>
      <c r="BM39" s="143">
        <v>6</v>
      </c>
      <c r="BN39" s="13">
        <f t="shared" si="15"/>
        <v>6</v>
      </c>
      <c r="BO39" s="62"/>
      <c r="BP39" s="143"/>
      <c r="BQ39" s="13">
        <f t="shared" si="16"/>
        <v>6</v>
      </c>
      <c r="BR39" s="62"/>
      <c r="BS39" s="143">
        <v>1</v>
      </c>
      <c r="BT39" s="13">
        <f t="shared" si="17"/>
        <v>5</v>
      </c>
      <c r="BU39" s="62">
        <v>20</v>
      </c>
      <c r="BV39" s="143">
        <f>1</f>
        <v>1</v>
      </c>
      <c r="BW39" s="13">
        <f t="shared" si="18"/>
        <v>24</v>
      </c>
      <c r="BX39" s="62">
        <v>10</v>
      </c>
      <c r="BY39" s="143">
        <f>9+4+6</f>
        <v>19</v>
      </c>
      <c r="BZ39" s="13">
        <f t="shared" si="19"/>
        <v>15</v>
      </c>
      <c r="CA39" s="62"/>
      <c r="CB39" s="143"/>
      <c r="CC39" s="13">
        <f t="shared" si="20"/>
        <v>15</v>
      </c>
      <c r="CD39" s="62">
        <v>10</v>
      </c>
      <c r="CE39" s="143">
        <f>1+7+4+2</f>
        <v>14</v>
      </c>
      <c r="CF39" s="13">
        <f t="shared" si="21"/>
        <v>11</v>
      </c>
      <c r="CG39" s="62">
        <f>-9+10+10</f>
        <v>11</v>
      </c>
      <c r="CH39" s="143">
        <f>2+3+2+1+3</f>
        <v>11</v>
      </c>
      <c r="CI39" s="13">
        <f t="shared" si="31"/>
        <v>11</v>
      </c>
      <c r="CJ39" s="62"/>
      <c r="CK39" s="143">
        <f>4</f>
        <v>4</v>
      </c>
      <c r="CL39" s="13">
        <f t="shared" si="32"/>
        <v>7</v>
      </c>
      <c r="CM39" s="62"/>
      <c r="CN39" s="143"/>
      <c r="CO39" s="13">
        <f t="shared" si="22"/>
        <v>7</v>
      </c>
      <c r="CP39" s="61">
        <v>10</v>
      </c>
      <c r="CQ39" s="143">
        <f>1+1+3</f>
        <v>5</v>
      </c>
      <c r="CR39" s="13">
        <f t="shared" si="33"/>
        <v>12</v>
      </c>
      <c r="CS39" s="62">
        <v>10</v>
      </c>
      <c r="CT39" s="143">
        <f>2+2+1+5</f>
        <v>10</v>
      </c>
      <c r="CU39" s="14">
        <f t="shared" si="23"/>
        <v>12</v>
      </c>
      <c r="CV39" s="5">
        <f t="shared" si="36"/>
        <v>166</v>
      </c>
      <c r="CW39" s="4">
        <f t="shared" si="36"/>
        <v>173</v>
      </c>
      <c r="CX39" s="6">
        <f t="shared" si="25"/>
        <v>12</v>
      </c>
      <c r="CY39" s="162">
        <v>80</v>
      </c>
      <c r="CZ39" s="171">
        <f t="shared" si="26"/>
        <v>960</v>
      </c>
      <c r="DB39" s="2">
        <f t="shared" si="34"/>
        <v>12</v>
      </c>
      <c r="DC39" s="61"/>
      <c r="DD39" s="143"/>
      <c r="DE39" s="149">
        <f t="shared" si="35"/>
        <v>12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5.5</v>
      </c>
      <c r="G40" s="184">
        <f>20-2.3-0.7-1</f>
        <v>16</v>
      </c>
      <c r="H40" s="143">
        <f>3.2</f>
        <v>3.2</v>
      </c>
      <c r="I40" s="13">
        <f t="shared" si="0"/>
        <v>18.3</v>
      </c>
      <c r="J40" s="62">
        <v>20</v>
      </c>
      <c r="K40" s="143">
        <f>0.3</f>
        <v>0.3</v>
      </c>
      <c r="L40" s="13">
        <f t="shared" si="1"/>
        <v>38</v>
      </c>
      <c r="M40" s="62"/>
      <c r="N40" s="143">
        <f>0.6+1.2+1.2+1+1.3+3.8</f>
        <v>9.1</v>
      </c>
      <c r="O40" s="13">
        <f t="shared" si="2"/>
        <v>28.9</v>
      </c>
      <c r="P40" s="62"/>
      <c r="Q40" s="143"/>
      <c r="R40" s="30">
        <f t="shared" si="3"/>
        <v>28.9</v>
      </c>
      <c r="S40" s="62"/>
      <c r="T40" s="143">
        <f>1</f>
        <v>1</v>
      </c>
      <c r="U40" s="13">
        <f t="shared" si="4"/>
        <v>27.9</v>
      </c>
      <c r="V40" s="62"/>
      <c r="W40" s="143">
        <f>0.5+1.4+1.9+2.2+1.8+1.2+0.5+1.8+1.2+1</f>
        <v>13.5</v>
      </c>
      <c r="X40" s="13">
        <f t="shared" si="5"/>
        <v>14.399999999999999</v>
      </c>
      <c r="Y40" s="62">
        <v>20</v>
      </c>
      <c r="Z40" s="143">
        <f>1.3+2.4+0.8+1.3+0.4+1+2.2+4</f>
        <v>13.4</v>
      </c>
      <c r="AA40" s="13">
        <f t="shared" si="27"/>
        <v>21</v>
      </c>
      <c r="AB40" s="62"/>
      <c r="AC40" s="143">
        <f>1+1.9+0.4+0.4+0.1+0.2+1</f>
        <v>5</v>
      </c>
      <c r="AD40" s="13">
        <f t="shared" si="28"/>
        <v>16</v>
      </c>
      <c r="AE40" s="62"/>
      <c r="AF40" s="143">
        <f>2.1+1.1+0.5</f>
        <v>3.7</v>
      </c>
      <c r="AG40" s="13">
        <f t="shared" si="29"/>
        <v>12.3</v>
      </c>
      <c r="AH40" s="62">
        <v>30</v>
      </c>
      <c r="AI40" s="143">
        <f>0.6+1.3+1.8+0.9+1.6+1.6+0.7+0.9+1.3+0.9</f>
        <v>11.600000000000001</v>
      </c>
      <c r="AJ40" s="13">
        <f t="shared" si="30"/>
        <v>30.699999999999996</v>
      </c>
      <c r="AK40" s="62"/>
      <c r="AL40" s="143"/>
      <c r="AM40" s="13">
        <f t="shared" si="6"/>
        <v>30.699999999999996</v>
      </c>
      <c r="AN40" s="62"/>
      <c r="AO40" s="143">
        <f>1.9+1.1+1.1+1.8+0.7+1+0.7+5</f>
        <v>13.299999999999999</v>
      </c>
      <c r="AP40" s="13">
        <f t="shared" si="7"/>
        <v>17.399999999999999</v>
      </c>
      <c r="AQ40" s="62">
        <v>20</v>
      </c>
      <c r="AR40" s="143">
        <f>2.6+1.6+0.9+1.2+0.4+0.7+0.5+1+0.4+0.8+1+1.5+1.5+1.1+5.1</f>
        <v>20.300000000000004</v>
      </c>
      <c r="AS40" s="13">
        <f t="shared" si="8"/>
        <v>17.099999999999994</v>
      </c>
      <c r="AT40" s="62"/>
      <c r="AU40" s="143">
        <v>0.8</v>
      </c>
      <c r="AV40" s="13">
        <f t="shared" si="9"/>
        <v>16.299999999999994</v>
      </c>
      <c r="AW40" s="62">
        <v>10</v>
      </c>
      <c r="AX40" s="143">
        <f>1+3.2+0.2+0.6+0.2+0.2+0.2+0.2+1.2</f>
        <v>7.0000000000000009</v>
      </c>
      <c r="AY40" s="13">
        <f t="shared" si="10"/>
        <v>19.299999999999994</v>
      </c>
      <c r="AZ40" s="62"/>
      <c r="BA40" s="143">
        <f>0.5+0.7+1.1</f>
        <v>2.2999999999999998</v>
      </c>
      <c r="BB40" s="13">
        <f t="shared" si="11"/>
        <v>16.999999999999993</v>
      </c>
      <c r="BC40" s="62">
        <v>30</v>
      </c>
      <c r="BD40" s="143">
        <f>1+1.5+1.8+1+2.9+1.8+1.4+0.9+1.8+0.8+3</f>
        <v>17.900000000000002</v>
      </c>
      <c r="BE40" s="13">
        <f t="shared" si="12"/>
        <v>29.099999999999991</v>
      </c>
      <c r="BF40" s="62"/>
      <c r="BG40" s="143"/>
      <c r="BH40" s="13">
        <f t="shared" si="13"/>
        <v>29.099999999999991</v>
      </c>
      <c r="BI40" s="62"/>
      <c r="BJ40" s="143"/>
      <c r="BK40" s="13">
        <f t="shared" si="14"/>
        <v>29.099999999999991</v>
      </c>
      <c r="BL40" s="62">
        <v>30</v>
      </c>
      <c r="BM40" s="143">
        <f>2.5+0.9+1.2+0.7+0.8+1.7+1.2+1</f>
        <v>10</v>
      </c>
      <c r="BN40" s="13">
        <f t="shared" si="15"/>
        <v>49.099999999999994</v>
      </c>
      <c r="BO40" s="62"/>
      <c r="BP40" s="143">
        <f>2+1+0.9+0.8+1.9+0.5+2.7+0.5</f>
        <v>10.3</v>
      </c>
      <c r="BQ40" s="13">
        <f t="shared" si="16"/>
        <v>38.799999999999997</v>
      </c>
      <c r="BR40" s="62"/>
      <c r="BS40" s="143">
        <f>1.3+2+1.1+2.2+0.7+1+0.9+1</f>
        <v>10.200000000000001</v>
      </c>
      <c r="BT40" s="13">
        <f t="shared" si="17"/>
        <v>28.599999999999994</v>
      </c>
      <c r="BU40" s="62">
        <v>20</v>
      </c>
      <c r="BV40" s="143">
        <f>1.9+0.3+0.5+0.2+0.2+0.2+1.2</f>
        <v>4.5</v>
      </c>
      <c r="BW40" s="13">
        <f t="shared" si="18"/>
        <v>44.099999999999994</v>
      </c>
      <c r="BX40" s="62"/>
      <c r="BY40" s="143">
        <f>2.2+1.7+1.2+1</f>
        <v>6.1000000000000005</v>
      </c>
      <c r="BZ40" s="13">
        <f t="shared" si="19"/>
        <v>37.999999999999993</v>
      </c>
      <c r="CA40" s="62"/>
      <c r="CB40" s="143"/>
      <c r="CC40" s="13">
        <f t="shared" si="20"/>
        <v>37.999999999999993</v>
      </c>
      <c r="CD40" s="62"/>
      <c r="CE40" s="143">
        <f>1.5+0.8+1.1+1.3+1.5+1+1.8+1.5+1.5+1.5+5.1</f>
        <v>18.600000000000001</v>
      </c>
      <c r="CF40" s="13">
        <f t="shared" si="21"/>
        <v>19.399999999999991</v>
      </c>
      <c r="CG40" s="62">
        <v>20</v>
      </c>
      <c r="CH40" s="143">
        <f>1.9+1.14+1.3+0.5+1+1.3+2.6+1.3+1.6+1.3+1+1.5+1.2</f>
        <v>17.64</v>
      </c>
      <c r="CI40" s="13">
        <f t="shared" si="31"/>
        <v>21.759999999999991</v>
      </c>
      <c r="CJ40" s="62"/>
      <c r="CK40" s="143">
        <f>0.9+3.5+1.5</f>
        <v>5.9</v>
      </c>
      <c r="CL40" s="13">
        <f t="shared" si="32"/>
        <v>15.859999999999991</v>
      </c>
      <c r="CM40" s="62">
        <v>20</v>
      </c>
      <c r="CN40" s="143">
        <f>1+1.9+0.5+1.2+1.4+1+4</f>
        <v>11</v>
      </c>
      <c r="CO40" s="13">
        <f t="shared" si="22"/>
        <v>24.859999999999992</v>
      </c>
      <c r="CP40" s="62"/>
      <c r="CQ40" s="143">
        <f>3.2+0.6+0.2+0.2+0.2+2.6</f>
        <v>7</v>
      </c>
      <c r="CR40" s="13">
        <f t="shared" si="33"/>
        <v>17.859999999999992</v>
      </c>
      <c r="CS40" s="62"/>
      <c r="CT40" s="143">
        <f>0.2+0.7+1.5</f>
        <v>2.4</v>
      </c>
      <c r="CU40" s="14">
        <f t="shared" si="23"/>
        <v>15.459999999999992</v>
      </c>
      <c r="CV40" s="5">
        <f t="shared" si="36"/>
        <v>236</v>
      </c>
      <c r="CW40" s="4">
        <f t="shared" si="36"/>
        <v>226.04000000000002</v>
      </c>
      <c r="CX40" s="6">
        <f t="shared" si="25"/>
        <v>15.459999999999992</v>
      </c>
      <c r="CY40" s="162">
        <v>220</v>
      </c>
      <c r="CZ40" s="171">
        <f t="shared" si="26"/>
        <v>3401.1999999999985</v>
      </c>
      <c r="DB40" s="2">
        <f t="shared" si="34"/>
        <v>15.459999999999992</v>
      </c>
      <c r="DC40" s="62"/>
      <c r="DD40" s="143"/>
      <c r="DE40" s="149">
        <f t="shared" si="35"/>
        <v>15.459999999999992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1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/>
      <c r="H42" s="143"/>
      <c r="I42" s="13">
        <f t="shared" si="0"/>
        <v>0</v>
      </c>
      <c r="J42" s="62">
        <v>1</v>
      </c>
      <c r="K42" s="143"/>
      <c r="L42" s="13">
        <f t="shared" si="1"/>
        <v>1</v>
      </c>
      <c r="M42" s="62"/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>
        <v>1</v>
      </c>
      <c r="U42" s="13">
        <f t="shared" si="4"/>
        <v>0</v>
      </c>
      <c r="V42" s="62"/>
      <c r="W42" s="143"/>
      <c r="X42" s="13">
        <f t="shared" si="5"/>
        <v>0</v>
      </c>
      <c r="Y42" s="62"/>
      <c r="Z42" s="143"/>
      <c r="AA42" s="13">
        <f t="shared" si="27"/>
        <v>0</v>
      </c>
      <c r="AB42" s="62"/>
      <c r="AC42" s="143"/>
      <c r="AD42" s="13">
        <f t="shared" si="28"/>
        <v>0</v>
      </c>
      <c r="AE42" s="62"/>
      <c r="AF42" s="143"/>
      <c r="AG42" s="13">
        <f t="shared" si="29"/>
        <v>0</v>
      </c>
      <c r="AH42" s="62"/>
      <c r="AI42" s="143"/>
      <c r="AJ42" s="13">
        <f t="shared" si="30"/>
        <v>0</v>
      </c>
      <c r="AK42" s="62"/>
      <c r="AL42" s="143"/>
      <c r="AM42" s="13">
        <f t="shared" si="6"/>
        <v>0</v>
      </c>
      <c r="AN42" s="62">
        <v>1</v>
      </c>
      <c r="AO42" s="143"/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>
        <v>1</v>
      </c>
      <c r="AX42" s="143">
        <v>1</v>
      </c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>
        <v>1</v>
      </c>
      <c r="BV42" s="143">
        <v>1</v>
      </c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/>
      <c r="CL42" s="13">
        <f t="shared" si="32"/>
        <v>1</v>
      </c>
      <c r="CM42" s="62"/>
      <c r="CN42" s="143">
        <v>1</v>
      </c>
      <c r="CO42" s="13">
        <f t="shared" si="22"/>
        <v>0</v>
      </c>
      <c r="CP42" s="61"/>
      <c r="CQ42" s="143"/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0.5</v>
      </c>
      <c r="G43" s="62"/>
      <c r="H43" s="143"/>
      <c r="I43" s="13">
        <f t="shared" si="0"/>
        <v>0.5</v>
      </c>
      <c r="J43" s="62"/>
      <c r="K43" s="143"/>
      <c r="L43" s="13">
        <f t="shared" si="1"/>
        <v>0.5</v>
      </c>
      <c r="M43" s="62"/>
      <c r="N43" s="143"/>
      <c r="O43" s="13">
        <f t="shared" si="2"/>
        <v>0.5</v>
      </c>
      <c r="P43" s="62"/>
      <c r="Q43" s="143"/>
      <c r="R43" s="30">
        <f t="shared" si="3"/>
        <v>0.5</v>
      </c>
      <c r="S43" s="62"/>
      <c r="T43" s="143"/>
      <c r="U43" s="13">
        <f t="shared" si="4"/>
        <v>0.5</v>
      </c>
      <c r="V43" s="62"/>
      <c r="W43" s="143">
        <v>0.5</v>
      </c>
      <c r="X43" s="13">
        <f t="shared" si="5"/>
        <v>0</v>
      </c>
      <c r="Y43" s="62"/>
      <c r="Z43" s="143"/>
      <c r="AA43" s="13">
        <f t="shared" si="27"/>
        <v>0</v>
      </c>
      <c r="AB43" s="62"/>
      <c r="AC43" s="143"/>
      <c r="AD43" s="13">
        <f t="shared" si="28"/>
        <v>0</v>
      </c>
      <c r="AE43" s="62">
        <v>1</v>
      </c>
      <c r="AF43" s="143">
        <v>0.5</v>
      </c>
      <c r="AG43" s="13">
        <f t="shared" si="29"/>
        <v>0.5</v>
      </c>
      <c r="AH43" s="62"/>
      <c r="AI43" s="143"/>
      <c r="AJ43" s="13">
        <f t="shared" si="30"/>
        <v>0.5</v>
      </c>
      <c r="AK43" s="62"/>
      <c r="AL43" s="143"/>
      <c r="AM43" s="13">
        <f t="shared" si="6"/>
        <v>0.5</v>
      </c>
      <c r="AN43" s="62"/>
      <c r="AO43" s="143"/>
      <c r="AP43" s="13">
        <f t="shared" si="7"/>
        <v>0.5</v>
      </c>
      <c r="AQ43" s="62"/>
      <c r="AR43" s="143">
        <v>0.5</v>
      </c>
      <c r="AS43" s="13">
        <f t="shared" si="8"/>
        <v>0</v>
      </c>
      <c r="AT43" s="62"/>
      <c r="AU43" s="143"/>
      <c r="AV43" s="13">
        <f t="shared" si="9"/>
        <v>0</v>
      </c>
      <c r="AW43" s="62"/>
      <c r="AX43" s="143"/>
      <c r="AY43" s="13">
        <f t="shared" si="10"/>
        <v>0</v>
      </c>
      <c r="AZ43" s="62">
        <v>1</v>
      </c>
      <c r="BA43" s="143">
        <v>1</v>
      </c>
      <c r="BB43" s="13">
        <f t="shared" si="11"/>
        <v>0</v>
      </c>
      <c r="BC43" s="62">
        <v>3</v>
      </c>
      <c r="BD43" s="143">
        <v>2.5</v>
      </c>
      <c r="BE43" s="13">
        <f t="shared" si="12"/>
        <v>0.5</v>
      </c>
      <c r="BF43" s="62"/>
      <c r="BG43" s="143"/>
      <c r="BH43" s="13">
        <f t="shared" si="13"/>
        <v>0.5</v>
      </c>
      <c r="BI43" s="62">
        <v>1</v>
      </c>
      <c r="BJ43" s="143"/>
      <c r="BK43" s="13">
        <f t="shared" si="14"/>
        <v>1.5</v>
      </c>
      <c r="BL43" s="62"/>
      <c r="BM43" s="143">
        <f>0.5+0.5</f>
        <v>1</v>
      </c>
      <c r="BN43" s="13">
        <f t="shared" si="15"/>
        <v>0.5</v>
      </c>
      <c r="BO43" s="62"/>
      <c r="BP43" s="143">
        <f>0.5</f>
        <v>0.5</v>
      </c>
      <c r="BQ43" s="13">
        <f t="shared" si="16"/>
        <v>0</v>
      </c>
      <c r="BR43" s="62"/>
      <c r="BS43" s="143"/>
      <c r="BT43" s="13">
        <f t="shared" si="17"/>
        <v>0</v>
      </c>
      <c r="BU43" s="62"/>
      <c r="BV43" s="143"/>
      <c r="BW43" s="13">
        <f t="shared" si="18"/>
        <v>0</v>
      </c>
      <c r="BX43" s="62"/>
      <c r="BY43" s="143"/>
      <c r="BZ43" s="13">
        <f t="shared" si="19"/>
        <v>0</v>
      </c>
      <c r="CA43" s="62"/>
      <c r="CB43" s="143"/>
      <c r="CC43" s="13">
        <f t="shared" si="20"/>
        <v>0</v>
      </c>
      <c r="CD43" s="62">
        <v>2</v>
      </c>
      <c r="CE43" s="143"/>
      <c r="CF43" s="13">
        <f t="shared" si="21"/>
        <v>2</v>
      </c>
      <c r="CG43" s="62"/>
      <c r="CH43" s="143">
        <f>1+1</f>
        <v>2</v>
      </c>
      <c r="CI43" s="13">
        <f t="shared" si="31"/>
        <v>0</v>
      </c>
      <c r="CJ43" s="62"/>
      <c r="CK43" s="143"/>
      <c r="CL43" s="13">
        <f t="shared" si="32"/>
        <v>0</v>
      </c>
      <c r="CM43" s="62"/>
      <c r="CN43" s="143"/>
      <c r="CO43" s="13">
        <f t="shared" si="22"/>
        <v>0</v>
      </c>
      <c r="CP43" s="62"/>
      <c r="CQ43" s="143"/>
      <c r="CR43" s="13">
        <f t="shared" si="33"/>
        <v>0</v>
      </c>
      <c r="CS43" s="62"/>
      <c r="CT43" s="143"/>
      <c r="CU43" s="14">
        <f t="shared" si="23"/>
        <v>0</v>
      </c>
      <c r="CV43" s="5">
        <f t="shared" si="36"/>
        <v>8</v>
      </c>
      <c r="CW43" s="4">
        <f t="shared" si="36"/>
        <v>8.5</v>
      </c>
      <c r="CX43" s="6">
        <f t="shared" si="25"/>
        <v>0</v>
      </c>
      <c r="CY43" s="162">
        <v>650</v>
      </c>
      <c r="CZ43" s="171">
        <f t="shared" si="26"/>
        <v>0</v>
      </c>
      <c r="DB43" s="2">
        <f t="shared" si="34"/>
        <v>0</v>
      </c>
      <c r="DC43" s="62"/>
      <c r="DD43" s="143"/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1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1</v>
      </c>
      <c r="G45" s="62"/>
      <c r="H45" s="143"/>
      <c r="I45" s="13">
        <f t="shared" si="0"/>
        <v>1</v>
      </c>
      <c r="J45" s="62"/>
      <c r="K45" s="143"/>
      <c r="L45" s="13">
        <f t="shared" si="1"/>
        <v>1</v>
      </c>
      <c r="M45" s="62">
        <v>1</v>
      </c>
      <c r="N45" s="143"/>
      <c r="O45" s="13">
        <f t="shared" si="2"/>
        <v>2</v>
      </c>
      <c r="P45" s="62"/>
      <c r="Q45" s="143"/>
      <c r="R45" s="30">
        <f t="shared" si="3"/>
        <v>2</v>
      </c>
      <c r="S45" s="62"/>
      <c r="T45" s="143"/>
      <c r="U45" s="13">
        <f t="shared" si="4"/>
        <v>2</v>
      </c>
      <c r="V45" s="62"/>
      <c r="W45" s="143">
        <v>2</v>
      </c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>
        <v>2</v>
      </c>
      <c r="AF45" s="143">
        <v>2</v>
      </c>
      <c r="AG45" s="13">
        <f t="shared" si="29"/>
        <v>0</v>
      </c>
      <c r="AH45" s="62">
        <v>4</v>
      </c>
      <c r="AI45" s="143">
        <v>4</v>
      </c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>
        <v>3</v>
      </c>
      <c r="AR45" s="143">
        <f>1+2</f>
        <v>3</v>
      </c>
      <c r="AS45" s="13">
        <f t="shared" si="8"/>
        <v>0</v>
      </c>
      <c r="AT45" s="62"/>
      <c r="AU45" s="143"/>
      <c r="AV45" s="13">
        <f t="shared" si="9"/>
        <v>0</v>
      </c>
      <c r="AW45" s="62"/>
      <c r="AX45" s="143"/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>
        <v>2</v>
      </c>
      <c r="BM45" s="143"/>
      <c r="BN45" s="13">
        <f t="shared" si="15"/>
        <v>2</v>
      </c>
      <c r="BO45" s="62"/>
      <c r="BP45" s="143">
        <v>2</v>
      </c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/>
      <c r="CB45" s="143"/>
      <c r="CC45" s="13">
        <f t="shared" si="20"/>
        <v>0</v>
      </c>
      <c r="CD45" s="62"/>
      <c r="CE45" s="143"/>
      <c r="CF45" s="13">
        <f t="shared" si="21"/>
        <v>0</v>
      </c>
      <c r="CG45" s="62">
        <v>1</v>
      </c>
      <c r="CH45" s="143"/>
      <c r="CI45" s="13">
        <f t="shared" si="31"/>
        <v>1</v>
      </c>
      <c r="CJ45" s="62"/>
      <c r="CK45" s="143">
        <v>1</v>
      </c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13</v>
      </c>
      <c r="CW45" s="4">
        <f t="shared" si="36"/>
        <v>14</v>
      </c>
      <c r="CX45" s="6">
        <f t="shared" si="25"/>
        <v>0</v>
      </c>
      <c r="CY45" s="162">
        <v>250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2</v>
      </c>
      <c r="G46" s="176"/>
      <c r="H46" s="143"/>
      <c r="I46" s="13">
        <f t="shared" si="0"/>
        <v>2</v>
      </c>
      <c r="J46" s="176"/>
      <c r="K46" s="143">
        <f>1</f>
        <v>1</v>
      </c>
      <c r="L46" s="13">
        <f t="shared" si="1"/>
        <v>1</v>
      </c>
      <c r="M46" s="176">
        <v>2</v>
      </c>
      <c r="N46" s="143"/>
      <c r="O46" s="13">
        <f t="shared" si="2"/>
        <v>3</v>
      </c>
      <c r="P46" s="176"/>
      <c r="Q46" s="143"/>
      <c r="R46" s="30">
        <f t="shared" si="3"/>
        <v>3</v>
      </c>
      <c r="S46" s="176"/>
      <c r="T46" s="143"/>
      <c r="U46" s="13">
        <f t="shared" si="4"/>
        <v>3</v>
      </c>
      <c r="V46" s="176"/>
      <c r="W46" s="143">
        <v>3</v>
      </c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>
        <v>2</v>
      </c>
      <c r="AF46" s="143">
        <v>2</v>
      </c>
      <c r="AG46" s="13">
        <f t="shared" si="29"/>
        <v>0</v>
      </c>
      <c r="AH46" s="176">
        <v>4</v>
      </c>
      <c r="AI46" s="143">
        <v>4</v>
      </c>
      <c r="AJ46" s="13">
        <f t="shared" si="30"/>
        <v>0</v>
      </c>
      <c r="AK46" s="176"/>
      <c r="AL46" s="143"/>
      <c r="AM46" s="13">
        <f t="shared" si="6"/>
        <v>0</v>
      </c>
      <c r="AN46" s="176"/>
      <c r="AO46" s="143"/>
      <c r="AP46" s="13">
        <f t="shared" si="7"/>
        <v>0</v>
      </c>
      <c r="AQ46" s="176">
        <v>2</v>
      </c>
      <c r="AR46" s="143">
        <v>2</v>
      </c>
      <c r="AS46" s="13">
        <f t="shared" si="8"/>
        <v>0</v>
      </c>
      <c r="AT46" s="176"/>
      <c r="AU46" s="143"/>
      <c r="AV46" s="13">
        <f t="shared" si="9"/>
        <v>0</v>
      </c>
      <c r="AW46" s="176"/>
      <c r="AX46" s="143"/>
      <c r="AY46" s="13">
        <f t="shared" si="10"/>
        <v>0</v>
      </c>
      <c r="AZ46" s="176"/>
      <c r="BA46" s="143"/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76"/>
      <c r="BY46" s="143"/>
      <c r="BZ46" s="13">
        <f t="shared" si="19"/>
        <v>0</v>
      </c>
      <c r="CA46" s="176"/>
      <c r="CB46" s="143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176"/>
      <c r="CN46" s="143"/>
      <c r="CO46" s="13">
        <f t="shared" si="22"/>
        <v>0</v>
      </c>
      <c r="CP46" s="63">
        <v>2</v>
      </c>
      <c r="CQ46" s="143"/>
      <c r="CR46" s="13">
        <f t="shared" si="33"/>
        <v>2</v>
      </c>
      <c r="CS46" s="176"/>
      <c r="CT46" s="143"/>
      <c r="CU46" s="14">
        <f t="shared" si="23"/>
        <v>2</v>
      </c>
      <c r="CV46" s="5">
        <f t="shared" si="36"/>
        <v>12</v>
      </c>
      <c r="CW46" s="4">
        <f t="shared" si="36"/>
        <v>12</v>
      </c>
      <c r="CX46" s="6">
        <f t="shared" si="25"/>
        <v>2</v>
      </c>
      <c r="CY46" s="162">
        <v>250</v>
      </c>
      <c r="CZ46" s="171">
        <f t="shared" si="26"/>
        <v>500</v>
      </c>
      <c r="DB46" s="2">
        <f t="shared" si="34"/>
        <v>2</v>
      </c>
      <c r="DC46" s="63"/>
      <c r="DD46" s="143"/>
      <c r="DE46" s="149">
        <f t="shared" si="35"/>
        <v>2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4</v>
      </c>
      <c r="G47" s="176">
        <v>7</v>
      </c>
      <c r="H47" s="143">
        <f>4+7</f>
        <v>11</v>
      </c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4</v>
      </c>
      <c r="Z47" s="143"/>
      <c r="AA47" s="13">
        <f t="shared" si="27"/>
        <v>4</v>
      </c>
      <c r="AB47" s="176"/>
      <c r="AC47" s="143"/>
      <c r="AD47" s="13">
        <f t="shared" si="28"/>
        <v>4</v>
      </c>
      <c r="AE47" s="176"/>
      <c r="AF47" s="143"/>
      <c r="AG47" s="13">
        <f t="shared" si="29"/>
        <v>4</v>
      </c>
      <c r="AH47" s="176">
        <v>1</v>
      </c>
      <c r="AI47" s="143">
        <f>3+2</f>
        <v>5</v>
      </c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/>
      <c r="BS47" s="143"/>
      <c r="BT47" s="13">
        <f t="shared" si="17"/>
        <v>0</v>
      </c>
      <c r="BU47" s="176">
        <v>13</v>
      </c>
      <c r="BV47" s="143"/>
      <c r="BW47" s="13">
        <f t="shared" si="18"/>
        <v>13</v>
      </c>
      <c r="BX47" s="176"/>
      <c r="BY47" s="143">
        <f>4</f>
        <v>4</v>
      </c>
      <c r="BZ47" s="13">
        <f t="shared" si="19"/>
        <v>9</v>
      </c>
      <c r="CA47" s="176"/>
      <c r="CB47" s="143"/>
      <c r="CC47" s="13">
        <f t="shared" si="20"/>
        <v>9</v>
      </c>
      <c r="CD47" s="176"/>
      <c r="CE47" s="143">
        <f>2+2+3+2</f>
        <v>9</v>
      </c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63">
        <f>14-1</f>
        <v>13</v>
      </c>
      <c r="CQ47" s="143"/>
      <c r="CR47" s="13">
        <f t="shared" si="33"/>
        <v>13</v>
      </c>
      <c r="CS47" s="176"/>
      <c r="CT47" s="143">
        <f>5+3</f>
        <v>8</v>
      </c>
      <c r="CU47" s="14">
        <f t="shared" si="23"/>
        <v>5</v>
      </c>
      <c r="CV47" s="5">
        <f t="shared" si="36"/>
        <v>38</v>
      </c>
      <c r="CW47" s="4">
        <f t="shared" si="36"/>
        <v>37</v>
      </c>
      <c r="CX47" s="6">
        <f t="shared" si="25"/>
        <v>5</v>
      </c>
      <c r="CY47" s="162">
        <v>120</v>
      </c>
      <c r="CZ47" s="171">
        <f t="shared" si="26"/>
        <v>600</v>
      </c>
      <c r="DB47" s="2">
        <f t="shared" si="34"/>
        <v>5</v>
      </c>
      <c r="DC47" s="63"/>
      <c r="DD47" s="143"/>
      <c r="DE47" s="149">
        <f t="shared" si="35"/>
        <v>5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5.07</v>
      </c>
      <c r="G48" s="62"/>
      <c r="H48" s="143">
        <v>0.82</v>
      </c>
      <c r="I48" s="13">
        <f t="shared" si="0"/>
        <v>4.25</v>
      </c>
      <c r="J48" s="62"/>
      <c r="K48" s="143">
        <v>1.1000000000000001</v>
      </c>
      <c r="L48" s="13">
        <f t="shared" si="1"/>
        <v>3.15</v>
      </c>
      <c r="M48" s="62">
        <v>4</v>
      </c>
      <c r="N48" s="143">
        <f>0.8</f>
        <v>0.8</v>
      </c>
      <c r="O48" s="13">
        <f t="shared" si="2"/>
        <v>6.3500000000000005</v>
      </c>
      <c r="P48" s="62"/>
      <c r="Q48" s="143"/>
      <c r="R48" s="30">
        <f t="shared" si="3"/>
        <v>6.3500000000000005</v>
      </c>
      <c r="S48" s="62"/>
      <c r="T48" s="143"/>
      <c r="U48" s="13">
        <f t="shared" si="4"/>
        <v>6.3500000000000005</v>
      </c>
      <c r="V48" s="62"/>
      <c r="W48" s="143">
        <f>0.8+0.4+0.8+0.2+0.2</f>
        <v>2.4000000000000004</v>
      </c>
      <c r="X48" s="13">
        <f t="shared" si="5"/>
        <v>3.95</v>
      </c>
      <c r="Y48" s="62"/>
      <c r="Z48" s="143">
        <f>0.5</f>
        <v>0.5</v>
      </c>
      <c r="AA48" s="13">
        <f t="shared" si="27"/>
        <v>3.45</v>
      </c>
      <c r="AB48" s="62"/>
      <c r="AC48" s="143">
        <f>0.8</f>
        <v>0.8</v>
      </c>
      <c r="AD48" s="13">
        <f t="shared" si="28"/>
        <v>2.6500000000000004</v>
      </c>
      <c r="AE48" s="62"/>
      <c r="AF48" s="143">
        <v>1.7</v>
      </c>
      <c r="AG48" s="13">
        <f t="shared" si="29"/>
        <v>0.9500000000000004</v>
      </c>
      <c r="AH48" s="62">
        <v>4</v>
      </c>
      <c r="AI48" s="143">
        <f>0.8+1.5</f>
        <v>2.2999999999999998</v>
      </c>
      <c r="AJ48" s="13">
        <f t="shared" si="30"/>
        <v>2.6500000000000004</v>
      </c>
      <c r="AK48" s="62"/>
      <c r="AL48" s="143"/>
      <c r="AM48" s="13">
        <f t="shared" si="6"/>
        <v>2.6500000000000004</v>
      </c>
      <c r="AN48" s="62">
        <v>4</v>
      </c>
      <c r="AO48" s="143">
        <f>0.4</f>
        <v>0.4</v>
      </c>
      <c r="AP48" s="13">
        <f t="shared" si="7"/>
        <v>6.25</v>
      </c>
      <c r="AQ48" s="62">
        <v>4</v>
      </c>
      <c r="AR48" s="143">
        <f>0.75+1+1.7+0.9</f>
        <v>4.3500000000000005</v>
      </c>
      <c r="AS48" s="13">
        <f t="shared" si="8"/>
        <v>5.8999999999999995</v>
      </c>
      <c r="AT48" s="62"/>
      <c r="AU48" s="143"/>
      <c r="AV48" s="13">
        <f t="shared" si="9"/>
        <v>5.8999999999999995</v>
      </c>
      <c r="AW48" s="62"/>
      <c r="AX48" s="143"/>
      <c r="AY48" s="13">
        <f t="shared" si="10"/>
        <v>5.8999999999999995</v>
      </c>
      <c r="AZ48" s="62"/>
      <c r="BA48" s="143">
        <f>0.5</f>
        <v>0.5</v>
      </c>
      <c r="BB48" s="13">
        <f t="shared" si="11"/>
        <v>5.3999999999999995</v>
      </c>
      <c r="BC48" s="62"/>
      <c r="BD48" s="143">
        <f>0.82+0.3+0.3</f>
        <v>1.42</v>
      </c>
      <c r="BE48" s="13">
        <f t="shared" si="12"/>
        <v>3.9799999999999995</v>
      </c>
      <c r="BF48" s="62"/>
      <c r="BG48" s="143"/>
      <c r="BH48" s="13">
        <f t="shared" si="13"/>
        <v>3.9799999999999995</v>
      </c>
      <c r="BI48" s="62"/>
      <c r="BJ48" s="143"/>
      <c r="BK48" s="13">
        <f t="shared" si="14"/>
        <v>3.9799999999999995</v>
      </c>
      <c r="BL48" s="62">
        <v>4</v>
      </c>
      <c r="BM48" s="143">
        <f>0.9</f>
        <v>0.9</v>
      </c>
      <c r="BN48" s="13">
        <f t="shared" si="15"/>
        <v>7.0799999999999992</v>
      </c>
      <c r="BO48" s="62"/>
      <c r="BP48" s="143">
        <f>0.8</f>
        <v>0.8</v>
      </c>
      <c r="BQ48" s="13">
        <f t="shared" si="16"/>
        <v>6.2799999999999994</v>
      </c>
      <c r="BR48" s="62"/>
      <c r="BS48" s="143">
        <f>1+0.2+0.9+0.5</f>
        <v>2.6</v>
      </c>
      <c r="BT48" s="13">
        <f t="shared" si="17"/>
        <v>3.6799999999999993</v>
      </c>
      <c r="BU48" s="62"/>
      <c r="BV48" s="143">
        <f>0.1+0.1</f>
        <v>0.2</v>
      </c>
      <c r="BW48" s="13">
        <f t="shared" si="18"/>
        <v>3.4799999999999991</v>
      </c>
      <c r="BX48" s="62"/>
      <c r="BY48" s="143">
        <f>0.9+0.05</f>
        <v>0.95000000000000007</v>
      </c>
      <c r="BZ48" s="13">
        <f t="shared" si="19"/>
        <v>2.5299999999999989</v>
      </c>
      <c r="CA48" s="62"/>
      <c r="CB48" s="143"/>
      <c r="CC48" s="13">
        <f t="shared" si="20"/>
        <v>2.5299999999999989</v>
      </c>
      <c r="CD48" s="62"/>
      <c r="CE48" s="143"/>
      <c r="CF48" s="13">
        <f t="shared" si="21"/>
        <v>2.5299999999999989</v>
      </c>
      <c r="CG48" s="62">
        <v>4</v>
      </c>
      <c r="CH48" s="143">
        <f>1</f>
        <v>1</v>
      </c>
      <c r="CI48" s="13">
        <f t="shared" si="31"/>
        <v>5.5299999999999994</v>
      </c>
      <c r="CJ48" s="62"/>
      <c r="CK48" s="143"/>
      <c r="CL48" s="13">
        <f t="shared" si="32"/>
        <v>5.5299999999999994</v>
      </c>
      <c r="CM48" s="62"/>
      <c r="CN48" s="143">
        <f>0.9+0.9</f>
        <v>1.8</v>
      </c>
      <c r="CO48" s="13">
        <f t="shared" si="22"/>
        <v>3.7299999999999995</v>
      </c>
      <c r="CP48" s="61"/>
      <c r="CQ48" s="143"/>
      <c r="CR48" s="13">
        <f t="shared" si="33"/>
        <v>3.7299999999999995</v>
      </c>
      <c r="CS48" s="62"/>
      <c r="CT48" s="143">
        <v>0.9</v>
      </c>
      <c r="CU48" s="14">
        <f t="shared" si="23"/>
        <v>2.8299999999999996</v>
      </c>
      <c r="CV48" s="5">
        <f t="shared" si="36"/>
        <v>24</v>
      </c>
      <c r="CW48" s="4">
        <f t="shared" si="36"/>
        <v>26.239999999999995</v>
      </c>
      <c r="CX48" s="6">
        <f t="shared" si="25"/>
        <v>2.8299999999999996</v>
      </c>
      <c r="CY48" s="162">
        <v>700</v>
      </c>
      <c r="CZ48" s="171">
        <f t="shared" si="26"/>
        <v>1980.9999999999998</v>
      </c>
      <c r="DB48" s="2">
        <f t="shared" si="34"/>
        <v>2.8299999999999996</v>
      </c>
      <c r="DC48" s="61"/>
      <c r="DD48" s="143"/>
      <c r="DE48" s="149">
        <f t="shared" si="35"/>
        <v>2.8299999999999996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7</v>
      </c>
      <c r="G49" s="62">
        <v>10</v>
      </c>
      <c r="H49" s="143">
        <v>5</v>
      </c>
      <c r="I49" s="13">
        <f t="shared" si="0"/>
        <v>12</v>
      </c>
      <c r="J49" s="61">
        <v>10</v>
      </c>
      <c r="K49" s="143">
        <v>4</v>
      </c>
      <c r="L49" s="13">
        <f t="shared" si="1"/>
        <v>18</v>
      </c>
      <c r="M49" s="62"/>
      <c r="N49" s="143">
        <f>4</f>
        <v>4</v>
      </c>
      <c r="O49" s="13">
        <f t="shared" si="2"/>
        <v>14</v>
      </c>
      <c r="P49" s="62"/>
      <c r="Q49" s="143"/>
      <c r="R49" s="30">
        <f t="shared" si="3"/>
        <v>14</v>
      </c>
      <c r="S49" s="62"/>
      <c r="T49" s="143">
        <v>5</v>
      </c>
      <c r="U49" s="13">
        <f t="shared" si="4"/>
        <v>9</v>
      </c>
      <c r="V49" s="62"/>
      <c r="W49" s="143">
        <v>4</v>
      </c>
      <c r="X49" s="13">
        <f t="shared" si="5"/>
        <v>5</v>
      </c>
      <c r="Y49" s="62">
        <v>10</v>
      </c>
      <c r="Z49" s="143"/>
      <c r="AA49" s="13">
        <f t="shared" si="27"/>
        <v>15</v>
      </c>
      <c r="AB49" s="62"/>
      <c r="AC49" s="143"/>
      <c r="AD49" s="13">
        <f t="shared" si="28"/>
        <v>15</v>
      </c>
      <c r="AE49" s="62">
        <v>10</v>
      </c>
      <c r="AF49" s="143">
        <v>2</v>
      </c>
      <c r="AG49" s="13">
        <f t="shared" si="29"/>
        <v>23</v>
      </c>
      <c r="AH49" s="62"/>
      <c r="AI49" s="143">
        <v>2</v>
      </c>
      <c r="AJ49" s="13">
        <f t="shared" si="30"/>
        <v>21</v>
      </c>
      <c r="AK49" s="62"/>
      <c r="AL49" s="143"/>
      <c r="AM49" s="13">
        <f t="shared" si="6"/>
        <v>21</v>
      </c>
      <c r="AN49" s="62"/>
      <c r="AO49" s="143"/>
      <c r="AP49" s="13">
        <f t="shared" si="7"/>
        <v>21</v>
      </c>
      <c r="AQ49" s="62"/>
      <c r="AR49" s="143">
        <v>3</v>
      </c>
      <c r="AS49" s="13">
        <f t="shared" si="8"/>
        <v>18</v>
      </c>
      <c r="AT49" s="62"/>
      <c r="AU49" s="143"/>
      <c r="AV49" s="13">
        <f t="shared" si="9"/>
        <v>18</v>
      </c>
      <c r="AW49" s="62"/>
      <c r="AX49" s="143">
        <v>3</v>
      </c>
      <c r="AY49" s="13">
        <f t="shared" si="10"/>
        <v>15</v>
      </c>
      <c r="AZ49" s="62"/>
      <c r="BA49" s="143"/>
      <c r="BB49" s="13">
        <f t="shared" si="11"/>
        <v>15</v>
      </c>
      <c r="BC49" s="62"/>
      <c r="BD49" s="143">
        <v>2</v>
      </c>
      <c r="BE49" s="13">
        <f t="shared" si="12"/>
        <v>13</v>
      </c>
      <c r="BF49" s="62"/>
      <c r="BG49" s="143"/>
      <c r="BH49" s="13">
        <f t="shared" si="13"/>
        <v>13</v>
      </c>
      <c r="BI49" s="62"/>
      <c r="BJ49" s="143">
        <v>2</v>
      </c>
      <c r="BK49" s="13">
        <f t="shared" si="14"/>
        <v>11</v>
      </c>
      <c r="BL49" s="62">
        <v>10</v>
      </c>
      <c r="BM49" s="143">
        <v>2</v>
      </c>
      <c r="BN49" s="13">
        <f t="shared" si="15"/>
        <v>19</v>
      </c>
      <c r="BO49" s="62"/>
      <c r="BP49" s="143"/>
      <c r="BQ49" s="13">
        <f t="shared" si="16"/>
        <v>19</v>
      </c>
      <c r="BR49" s="62"/>
      <c r="BS49" s="143">
        <v>1</v>
      </c>
      <c r="BT49" s="13">
        <f t="shared" si="17"/>
        <v>18</v>
      </c>
      <c r="BU49" s="62"/>
      <c r="BV49" s="143">
        <v>4</v>
      </c>
      <c r="BW49" s="13">
        <f t="shared" si="18"/>
        <v>14</v>
      </c>
      <c r="BX49" s="62"/>
      <c r="BY49" s="143">
        <v>3</v>
      </c>
      <c r="BZ49" s="13">
        <f t="shared" si="19"/>
        <v>11</v>
      </c>
      <c r="CA49" s="62"/>
      <c r="CB49" s="143"/>
      <c r="CC49" s="13">
        <f t="shared" si="20"/>
        <v>11</v>
      </c>
      <c r="CD49" s="62"/>
      <c r="CE49" s="143">
        <v>3</v>
      </c>
      <c r="CF49" s="13">
        <f t="shared" si="21"/>
        <v>8</v>
      </c>
      <c r="CG49" s="62">
        <v>10</v>
      </c>
      <c r="CH49" s="143">
        <v>3</v>
      </c>
      <c r="CI49" s="13">
        <f t="shared" si="31"/>
        <v>15</v>
      </c>
      <c r="CJ49" s="62"/>
      <c r="CK49" s="143"/>
      <c r="CL49" s="13">
        <f t="shared" si="32"/>
        <v>15</v>
      </c>
      <c r="CM49" s="62"/>
      <c r="CN49" s="143">
        <v>5</v>
      </c>
      <c r="CO49" s="13">
        <f t="shared" si="22"/>
        <v>10</v>
      </c>
      <c r="CP49" s="61"/>
      <c r="CQ49" s="143">
        <v>1</v>
      </c>
      <c r="CR49" s="13">
        <f t="shared" si="33"/>
        <v>9</v>
      </c>
      <c r="CS49" s="62"/>
      <c r="CT49" s="143">
        <v>1</v>
      </c>
      <c r="CU49" s="14">
        <f t="shared" si="23"/>
        <v>8</v>
      </c>
      <c r="CV49" s="5">
        <f t="shared" si="36"/>
        <v>60</v>
      </c>
      <c r="CW49" s="4">
        <f t="shared" si="36"/>
        <v>59</v>
      </c>
      <c r="CX49" s="6">
        <f t="shared" si="25"/>
        <v>8</v>
      </c>
      <c r="CY49" s="162">
        <v>880</v>
      </c>
      <c r="CZ49" s="171">
        <f t="shared" si="26"/>
        <v>7040</v>
      </c>
      <c r="DB49" s="2">
        <f t="shared" si="34"/>
        <v>8</v>
      </c>
      <c r="DC49" s="61"/>
      <c r="DD49" s="143"/>
      <c r="DE49" s="149">
        <f t="shared" si="35"/>
        <v>8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8</v>
      </c>
      <c r="G50" s="62"/>
      <c r="H50" s="143"/>
      <c r="I50" s="13">
        <f t="shared" si="0"/>
        <v>8</v>
      </c>
      <c r="J50" s="62"/>
      <c r="K50" s="143"/>
      <c r="L50" s="13">
        <f t="shared" si="1"/>
        <v>8</v>
      </c>
      <c r="M50" s="62"/>
      <c r="N50" s="143">
        <v>8</v>
      </c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1"/>
      <c r="CQ50" s="143"/>
      <c r="CR50" s="13">
        <f t="shared" si="33"/>
        <v>0</v>
      </c>
      <c r="CS50" s="62"/>
      <c r="CT50" s="143"/>
      <c r="CU50" s="14">
        <f t="shared" si="23"/>
        <v>0</v>
      </c>
      <c r="CV50" s="5">
        <f t="shared" si="36"/>
        <v>0</v>
      </c>
      <c r="CW50" s="4">
        <f t="shared" si="36"/>
        <v>8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1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1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11</v>
      </c>
      <c r="G53" s="62">
        <v>8</v>
      </c>
      <c r="H53" s="143">
        <f>11</f>
        <v>11</v>
      </c>
      <c r="I53" s="13">
        <f t="shared" si="0"/>
        <v>8</v>
      </c>
      <c r="J53" s="62">
        <v>25</v>
      </c>
      <c r="K53" s="143">
        <f>8</f>
        <v>8</v>
      </c>
      <c r="L53" s="13">
        <f t="shared" si="1"/>
        <v>25</v>
      </c>
      <c r="M53" s="62">
        <v>25</v>
      </c>
      <c r="N53" s="143">
        <f>15+1</f>
        <v>16</v>
      </c>
      <c r="O53" s="13">
        <f t="shared" si="2"/>
        <v>34</v>
      </c>
      <c r="P53" s="62"/>
      <c r="Q53" s="143"/>
      <c r="R53" s="13">
        <f t="shared" si="3"/>
        <v>34</v>
      </c>
      <c r="S53" s="62"/>
      <c r="T53" s="143">
        <f>10</f>
        <v>10</v>
      </c>
      <c r="U53" s="13">
        <f t="shared" si="4"/>
        <v>24</v>
      </c>
      <c r="V53" s="62"/>
      <c r="W53" s="143">
        <f>15+2</f>
        <v>17</v>
      </c>
      <c r="X53" s="13">
        <f t="shared" si="5"/>
        <v>7</v>
      </c>
      <c r="Y53" s="62">
        <v>13</v>
      </c>
      <c r="Z53" s="143"/>
      <c r="AA53" s="13">
        <f t="shared" si="27"/>
        <v>20</v>
      </c>
      <c r="AB53" s="62">
        <v>10</v>
      </c>
      <c r="AC53" s="143">
        <f>5+5</f>
        <v>10</v>
      </c>
      <c r="AD53" s="13">
        <f t="shared" si="28"/>
        <v>20</v>
      </c>
      <c r="AE53" s="62"/>
      <c r="AF53" s="143">
        <f>1</f>
        <v>1</v>
      </c>
      <c r="AG53" s="13">
        <f t="shared" si="29"/>
        <v>19</v>
      </c>
      <c r="AH53" s="62">
        <v>4</v>
      </c>
      <c r="AI53" s="143">
        <v>8</v>
      </c>
      <c r="AJ53" s="13">
        <f t="shared" si="30"/>
        <v>15</v>
      </c>
      <c r="AK53" s="62"/>
      <c r="AL53" s="143"/>
      <c r="AM53" s="13">
        <f t="shared" si="6"/>
        <v>15</v>
      </c>
      <c r="AN53" s="62">
        <v>13</v>
      </c>
      <c r="AO53" s="143">
        <v>8</v>
      </c>
      <c r="AP53" s="13">
        <f t="shared" si="7"/>
        <v>20</v>
      </c>
      <c r="AQ53" s="62"/>
      <c r="AR53" s="143">
        <v>3</v>
      </c>
      <c r="AS53" s="13">
        <f t="shared" si="8"/>
        <v>17</v>
      </c>
      <c r="AT53" s="62"/>
      <c r="AU53" s="143"/>
      <c r="AV53" s="13">
        <f t="shared" si="9"/>
        <v>17</v>
      </c>
      <c r="AW53" s="62">
        <v>7</v>
      </c>
      <c r="AX53" s="143">
        <f>9</f>
        <v>9</v>
      </c>
      <c r="AY53" s="13">
        <f t="shared" si="10"/>
        <v>15</v>
      </c>
      <c r="AZ53" s="62">
        <v>12</v>
      </c>
      <c r="BA53" s="143">
        <v>7</v>
      </c>
      <c r="BB53" s="13">
        <f t="shared" si="11"/>
        <v>20</v>
      </c>
      <c r="BC53" s="62">
        <f>-1+16</f>
        <v>15</v>
      </c>
      <c r="BD53" s="143">
        <v>20</v>
      </c>
      <c r="BE53" s="13">
        <f t="shared" si="12"/>
        <v>15</v>
      </c>
      <c r="BF53" s="62"/>
      <c r="BG53" s="143"/>
      <c r="BH53" s="13">
        <f t="shared" si="13"/>
        <v>15</v>
      </c>
      <c r="BI53" s="62">
        <v>11</v>
      </c>
      <c r="BJ53" s="143">
        <v>6</v>
      </c>
      <c r="BK53" s="13">
        <f t="shared" si="14"/>
        <v>20</v>
      </c>
      <c r="BL53" s="62">
        <v>8</v>
      </c>
      <c r="BM53" s="143">
        <f>11</f>
        <v>11</v>
      </c>
      <c r="BN53" s="13">
        <f t="shared" si="15"/>
        <v>17</v>
      </c>
      <c r="BO53" s="62"/>
      <c r="BP53" s="143">
        <f>2</f>
        <v>2</v>
      </c>
      <c r="BQ53" s="13">
        <f t="shared" si="16"/>
        <v>15</v>
      </c>
      <c r="BR53" s="62">
        <v>16</v>
      </c>
      <c r="BS53" s="143">
        <v>11</v>
      </c>
      <c r="BT53" s="13">
        <f t="shared" si="17"/>
        <v>20</v>
      </c>
      <c r="BU53" s="62">
        <v>9</v>
      </c>
      <c r="BV53" s="143">
        <f>5+4</f>
        <v>9</v>
      </c>
      <c r="BW53" s="13">
        <f t="shared" si="18"/>
        <v>20</v>
      </c>
      <c r="BX53" s="62">
        <v>2</v>
      </c>
      <c r="BY53" s="143">
        <v>7</v>
      </c>
      <c r="BZ53" s="13">
        <f t="shared" si="19"/>
        <v>15</v>
      </c>
      <c r="CA53" s="62"/>
      <c r="CB53" s="143"/>
      <c r="CC53" s="13">
        <f t="shared" si="20"/>
        <v>15</v>
      </c>
      <c r="CD53" s="62">
        <v>9</v>
      </c>
      <c r="CE53" s="143">
        <v>4</v>
      </c>
      <c r="CF53" s="13">
        <f t="shared" si="21"/>
        <v>20</v>
      </c>
      <c r="CG53" s="62">
        <v>11</v>
      </c>
      <c r="CH53" s="143">
        <f>16</f>
        <v>16</v>
      </c>
      <c r="CI53" s="13">
        <f>CF53+CG53-CH53</f>
        <v>15</v>
      </c>
      <c r="CJ53" s="62"/>
      <c r="CK53" s="143"/>
      <c r="CL53" s="13">
        <f>CI53+CJ53-CK53</f>
        <v>15</v>
      </c>
      <c r="CM53" s="62">
        <v>12</v>
      </c>
      <c r="CN53" s="143">
        <v>7</v>
      </c>
      <c r="CO53" s="13">
        <f t="shared" si="22"/>
        <v>20</v>
      </c>
      <c r="CP53" s="61">
        <v>4</v>
      </c>
      <c r="CQ53" s="143">
        <v>4</v>
      </c>
      <c r="CR53" s="13">
        <f t="shared" si="33"/>
        <v>20</v>
      </c>
      <c r="CS53" s="62">
        <v>5</v>
      </c>
      <c r="CT53" s="143">
        <v>15</v>
      </c>
      <c r="CU53" s="14">
        <f t="shared" si="23"/>
        <v>10</v>
      </c>
      <c r="CV53" s="5">
        <f t="shared" si="36"/>
        <v>219</v>
      </c>
      <c r="CW53" s="4">
        <f t="shared" si="36"/>
        <v>220</v>
      </c>
      <c r="CX53" s="6">
        <f t="shared" si="25"/>
        <v>10</v>
      </c>
      <c r="CY53" s="162">
        <v>70</v>
      </c>
      <c r="CZ53" s="171">
        <f t="shared" si="26"/>
        <v>700</v>
      </c>
      <c r="DB53" s="2">
        <f t="shared" si="34"/>
        <v>10</v>
      </c>
      <c r="DC53" s="61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1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0</v>
      </c>
      <c r="G55" s="62">
        <v>10</v>
      </c>
      <c r="H55" s="143"/>
      <c r="I55" s="13">
        <f t="shared" si="0"/>
        <v>10</v>
      </c>
      <c r="J55" s="62">
        <v>10</v>
      </c>
      <c r="K55" s="143"/>
      <c r="L55" s="13">
        <f t="shared" si="1"/>
        <v>20</v>
      </c>
      <c r="M55" s="62"/>
      <c r="N55" s="143"/>
      <c r="O55" s="13">
        <f t="shared" si="2"/>
        <v>20</v>
      </c>
      <c r="P55" s="62"/>
      <c r="Q55" s="143"/>
      <c r="R55" s="13">
        <f t="shared" si="3"/>
        <v>20</v>
      </c>
      <c r="S55" s="62"/>
      <c r="T55" s="143">
        <v>8</v>
      </c>
      <c r="U55" s="13">
        <f t="shared" si="4"/>
        <v>12</v>
      </c>
      <c r="V55" s="62"/>
      <c r="W55" s="143"/>
      <c r="X55" s="13">
        <f t="shared" si="5"/>
        <v>12</v>
      </c>
      <c r="Y55" s="62"/>
      <c r="Z55" s="143"/>
      <c r="AA55" s="13">
        <f t="shared" si="27"/>
        <v>12</v>
      </c>
      <c r="AB55" s="62"/>
      <c r="AC55" s="143"/>
      <c r="AD55" s="13">
        <f t="shared" si="28"/>
        <v>12</v>
      </c>
      <c r="AE55" s="62"/>
      <c r="AF55" s="143"/>
      <c r="AG55" s="13">
        <f t="shared" si="29"/>
        <v>12</v>
      </c>
      <c r="AH55" s="62"/>
      <c r="AI55" s="143"/>
      <c r="AJ55" s="13">
        <f t="shared" si="30"/>
        <v>12</v>
      </c>
      <c r="AK55" s="62"/>
      <c r="AL55" s="143"/>
      <c r="AM55" s="13">
        <f t="shared" si="6"/>
        <v>12</v>
      </c>
      <c r="AN55" s="62"/>
      <c r="AO55" s="143">
        <v>8</v>
      </c>
      <c r="AP55" s="13">
        <f t="shared" si="7"/>
        <v>4</v>
      </c>
      <c r="AQ55" s="62">
        <v>10</v>
      </c>
      <c r="AR55" s="143"/>
      <c r="AS55" s="13">
        <f t="shared" si="8"/>
        <v>14</v>
      </c>
      <c r="AT55" s="62"/>
      <c r="AU55" s="143"/>
      <c r="AV55" s="13">
        <f t="shared" si="9"/>
        <v>14</v>
      </c>
      <c r="AW55" s="62"/>
      <c r="AX55" s="143">
        <f>7</f>
        <v>7</v>
      </c>
      <c r="AY55" s="13">
        <f t="shared" si="10"/>
        <v>7</v>
      </c>
      <c r="AZ55" s="62">
        <v>10</v>
      </c>
      <c r="BA55" s="143"/>
      <c r="BB55" s="13">
        <f t="shared" si="11"/>
        <v>17</v>
      </c>
      <c r="BC55" s="62"/>
      <c r="BD55" s="143"/>
      <c r="BE55" s="13">
        <f t="shared" si="12"/>
        <v>17</v>
      </c>
      <c r="BF55" s="62"/>
      <c r="BG55" s="143"/>
      <c r="BH55" s="13">
        <f t="shared" si="13"/>
        <v>17</v>
      </c>
      <c r="BI55" s="62"/>
      <c r="BJ55" s="143"/>
      <c r="BK55" s="13">
        <f t="shared" si="14"/>
        <v>17</v>
      </c>
      <c r="BL55" s="62"/>
      <c r="BM55" s="143"/>
      <c r="BN55" s="13">
        <f t="shared" si="15"/>
        <v>17</v>
      </c>
      <c r="BO55" s="62"/>
      <c r="BP55" s="143"/>
      <c r="BQ55" s="13">
        <f t="shared" si="16"/>
        <v>17</v>
      </c>
      <c r="BR55" s="62"/>
      <c r="BS55" s="143"/>
      <c r="BT55" s="13">
        <f t="shared" si="17"/>
        <v>17</v>
      </c>
      <c r="BU55" s="62"/>
      <c r="BV55" s="143">
        <v>7</v>
      </c>
      <c r="BW55" s="13">
        <f t="shared" si="18"/>
        <v>10</v>
      </c>
      <c r="BX55" s="62"/>
      <c r="BY55" s="143"/>
      <c r="BZ55" s="13">
        <f t="shared" si="19"/>
        <v>10</v>
      </c>
      <c r="CA55" s="62"/>
      <c r="CB55" s="143"/>
      <c r="CC55" s="13">
        <f t="shared" si="20"/>
        <v>10</v>
      </c>
      <c r="CD55" s="62"/>
      <c r="CE55" s="143"/>
      <c r="CF55" s="13">
        <f t="shared" si="21"/>
        <v>10</v>
      </c>
      <c r="CG55" s="62"/>
      <c r="CH55" s="143"/>
      <c r="CI55" s="13">
        <f t="shared" si="31"/>
        <v>10</v>
      </c>
      <c r="CJ55" s="62"/>
      <c r="CK55" s="143"/>
      <c r="CL55" s="13">
        <f t="shared" si="32"/>
        <v>10</v>
      </c>
      <c r="CM55" s="62"/>
      <c r="CN55" s="143">
        <v>5</v>
      </c>
      <c r="CO55" s="13">
        <f t="shared" si="22"/>
        <v>5</v>
      </c>
      <c r="CP55" s="61"/>
      <c r="CQ55" s="143"/>
      <c r="CR55" s="13">
        <f t="shared" si="33"/>
        <v>5</v>
      </c>
      <c r="CS55" s="62"/>
      <c r="CT55" s="143"/>
      <c r="CU55" s="14">
        <f t="shared" si="23"/>
        <v>5</v>
      </c>
      <c r="CV55" s="5">
        <f t="shared" si="36"/>
        <v>40</v>
      </c>
      <c r="CW55" s="4">
        <f t="shared" si="36"/>
        <v>35</v>
      </c>
      <c r="CX55" s="6">
        <f t="shared" si="25"/>
        <v>5</v>
      </c>
      <c r="CY55" s="162">
        <v>105</v>
      </c>
      <c r="CZ55" s="171">
        <f t="shared" si="26"/>
        <v>525</v>
      </c>
      <c r="DB55" s="2">
        <f t="shared" si="34"/>
        <v>5</v>
      </c>
      <c r="DC55" s="61"/>
      <c r="DD55" s="143"/>
      <c r="DE55" s="149">
        <f t="shared" si="35"/>
        <v>5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>
        <v>1</v>
      </c>
      <c r="H56" s="143"/>
      <c r="I56" s="13">
        <f t="shared" si="0"/>
        <v>1</v>
      </c>
      <c r="J56" s="62">
        <v>1</v>
      </c>
      <c r="K56" s="143">
        <v>1</v>
      </c>
      <c r="L56" s="13">
        <f t="shared" si="1"/>
        <v>1</v>
      </c>
      <c r="M56" s="62"/>
      <c r="N56" s="143"/>
      <c r="O56" s="13">
        <f t="shared" si="2"/>
        <v>1</v>
      </c>
      <c r="P56" s="62"/>
      <c r="Q56" s="143"/>
      <c r="R56" s="30">
        <f t="shared" si="3"/>
        <v>1</v>
      </c>
      <c r="S56" s="62"/>
      <c r="T56" s="143">
        <v>1</v>
      </c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2">
        <v>1</v>
      </c>
      <c r="CN56" s="143"/>
      <c r="CO56" s="13">
        <f t="shared" si="22"/>
        <v>1</v>
      </c>
      <c r="CP56" s="61"/>
      <c r="CQ56" s="143">
        <v>1</v>
      </c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3</v>
      </c>
      <c r="CW56" s="4">
        <f t="shared" si="36"/>
        <v>3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0</v>
      </c>
      <c r="G58" s="62">
        <f>10-1</f>
        <v>9</v>
      </c>
      <c r="H58" s="143"/>
      <c r="I58" s="13">
        <f t="shared" si="0"/>
        <v>9</v>
      </c>
      <c r="J58" s="62"/>
      <c r="K58" s="143"/>
      <c r="L58" s="13">
        <f t="shared" si="1"/>
        <v>9</v>
      </c>
      <c r="M58" s="62"/>
      <c r="N58" s="143"/>
      <c r="O58" s="13">
        <f t="shared" si="2"/>
        <v>9</v>
      </c>
      <c r="P58" s="62"/>
      <c r="Q58" s="143"/>
      <c r="R58" s="13">
        <f t="shared" si="3"/>
        <v>9</v>
      </c>
      <c r="S58" s="62"/>
      <c r="T58" s="143"/>
      <c r="U58" s="13">
        <f t="shared" si="4"/>
        <v>9</v>
      </c>
      <c r="V58" s="62"/>
      <c r="W58" s="143">
        <f>2.4+2.9</f>
        <v>5.3</v>
      </c>
      <c r="X58" s="13">
        <f t="shared" si="5"/>
        <v>3.7</v>
      </c>
      <c r="Y58" s="62"/>
      <c r="Z58" s="143"/>
      <c r="AA58" s="13">
        <f t="shared" si="27"/>
        <v>3.7</v>
      </c>
      <c r="AB58" s="62">
        <v>10</v>
      </c>
      <c r="AC58" s="143"/>
      <c r="AD58" s="13">
        <f t="shared" si="28"/>
        <v>13.7</v>
      </c>
      <c r="AE58" s="62"/>
      <c r="AF58" s="143">
        <v>4.8</v>
      </c>
      <c r="AG58" s="13">
        <f t="shared" si="29"/>
        <v>8.8999999999999986</v>
      </c>
      <c r="AH58" s="62">
        <v>10</v>
      </c>
      <c r="AI58" s="143">
        <f>1.4+1.2+0.3</f>
        <v>2.8999999999999995</v>
      </c>
      <c r="AJ58" s="13">
        <f t="shared" si="30"/>
        <v>16</v>
      </c>
      <c r="AK58" s="62"/>
      <c r="AL58" s="143"/>
      <c r="AM58" s="13">
        <f t="shared" si="6"/>
        <v>16</v>
      </c>
      <c r="AN58" s="62"/>
      <c r="AO58" s="143">
        <f>1.2</f>
        <v>1.2</v>
      </c>
      <c r="AP58" s="13">
        <f t="shared" si="7"/>
        <v>14.8</v>
      </c>
      <c r="AQ58" s="62">
        <v>10</v>
      </c>
      <c r="AR58" s="143">
        <f>1.4+2+3.7+4</f>
        <v>11.1</v>
      </c>
      <c r="AS58" s="13">
        <f t="shared" si="8"/>
        <v>13.700000000000001</v>
      </c>
      <c r="AT58" s="62"/>
      <c r="AU58" s="143"/>
      <c r="AV58" s="13">
        <f t="shared" si="9"/>
        <v>13.700000000000001</v>
      </c>
      <c r="AW58" s="62"/>
      <c r="AX58" s="143">
        <f>1</f>
        <v>1</v>
      </c>
      <c r="AY58" s="13">
        <f t="shared" si="10"/>
        <v>12.700000000000001</v>
      </c>
      <c r="AZ58" s="62"/>
      <c r="BA58" s="143">
        <f>1.3</f>
        <v>1.3</v>
      </c>
      <c r="BB58" s="13">
        <f t="shared" si="11"/>
        <v>11.4</v>
      </c>
      <c r="BC58" s="62"/>
      <c r="BD58" s="143">
        <f>2.4+0.7+0.7</f>
        <v>3.8</v>
      </c>
      <c r="BE58" s="13">
        <f t="shared" si="12"/>
        <v>7.6000000000000005</v>
      </c>
      <c r="BF58" s="62"/>
      <c r="BG58" s="143"/>
      <c r="BH58" s="13">
        <f t="shared" si="13"/>
        <v>7.6000000000000005</v>
      </c>
      <c r="BI58" s="62"/>
      <c r="BJ58" s="143"/>
      <c r="BK58" s="13">
        <f t="shared" si="14"/>
        <v>7.6000000000000005</v>
      </c>
      <c r="BL58" s="62">
        <v>10</v>
      </c>
      <c r="BM58" s="143"/>
      <c r="BN58" s="13">
        <f t="shared" si="15"/>
        <v>17.600000000000001</v>
      </c>
      <c r="BO58" s="62"/>
      <c r="BP58" s="143">
        <f>2.4</f>
        <v>2.4</v>
      </c>
      <c r="BQ58" s="13">
        <f t="shared" si="16"/>
        <v>15.200000000000001</v>
      </c>
      <c r="BR58" s="62"/>
      <c r="BS58" s="143">
        <f>2.4</f>
        <v>2.4</v>
      </c>
      <c r="BT58" s="13">
        <f t="shared" si="17"/>
        <v>12.8</v>
      </c>
      <c r="BU58" s="62"/>
      <c r="BV58" s="143"/>
      <c r="BW58" s="13">
        <f t="shared" si="18"/>
        <v>12.8</v>
      </c>
      <c r="BX58" s="62"/>
      <c r="BY58" s="143"/>
      <c r="BZ58" s="13">
        <f t="shared" si="19"/>
        <v>12.8</v>
      </c>
      <c r="CA58" s="62"/>
      <c r="CB58" s="143"/>
      <c r="CC58" s="13">
        <f t="shared" si="20"/>
        <v>12.8</v>
      </c>
      <c r="CD58" s="62"/>
      <c r="CE58" s="143">
        <f>0.4</f>
        <v>0.4</v>
      </c>
      <c r="CF58" s="13">
        <f t="shared" si="21"/>
        <v>12.4</v>
      </c>
      <c r="CG58" s="62"/>
      <c r="CH58" s="143"/>
      <c r="CI58" s="13">
        <f t="shared" si="31"/>
        <v>12.4</v>
      </c>
      <c r="CJ58" s="62"/>
      <c r="CK58" s="143"/>
      <c r="CL58" s="13">
        <f t="shared" si="32"/>
        <v>12.4</v>
      </c>
      <c r="CM58" s="62"/>
      <c r="CN58" s="143">
        <f>3.1</f>
        <v>3.1</v>
      </c>
      <c r="CO58" s="13">
        <f t="shared" si="22"/>
        <v>9.3000000000000007</v>
      </c>
      <c r="CP58" s="61"/>
      <c r="CQ58" s="143"/>
      <c r="CR58" s="13">
        <f t="shared" si="33"/>
        <v>9.3000000000000007</v>
      </c>
      <c r="CS58" s="62"/>
      <c r="CT58" s="143"/>
      <c r="CU58" s="14">
        <f t="shared" si="23"/>
        <v>9.3000000000000007</v>
      </c>
      <c r="CV58" s="5">
        <f t="shared" si="36"/>
        <v>49</v>
      </c>
      <c r="CW58" s="4">
        <f t="shared" si="36"/>
        <v>39.699999999999996</v>
      </c>
      <c r="CX58" s="6">
        <f t="shared" si="25"/>
        <v>9.3000000000000007</v>
      </c>
      <c r="CY58" s="162">
        <v>420</v>
      </c>
      <c r="CZ58" s="171">
        <f t="shared" si="26"/>
        <v>3906.0000000000005</v>
      </c>
      <c r="DB58" s="2">
        <f t="shared" si="34"/>
        <v>9.3000000000000007</v>
      </c>
      <c r="DC58" s="61"/>
      <c r="DD58" s="143"/>
      <c r="DE58" s="149">
        <f t="shared" si="35"/>
        <v>9.3000000000000007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16</v>
      </c>
      <c r="G59" s="62">
        <f>50+30</f>
        <v>80</v>
      </c>
      <c r="H59" s="143">
        <f>3+10+26</f>
        <v>39</v>
      </c>
      <c r="I59" s="13">
        <f t="shared" si="0"/>
        <v>57</v>
      </c>
      <c r="J59" s="62">
        <f>60+20</f>
        <v>80</v>
      </c>
      <c r="K59" s="143">
        <f>2+9+32</f>
        <v>43</v>
      </c>
      <c r="L59" s="13">
        <f t="shared" si="1"/>
        <v>94</v>
      </c>
      <c r="M59" s="62">
        <f>60+20</f>
        <v>80</v>
      </c>
      <c r="N59" s="143">
        <f>15+8+51</f>
        <v>74</v>
      </c>
      <c r="O59" s="13">
        <f t="shared" si="2"/>
        <v>100</v>
      </c>
      <c r="P59" s="62"/>
      <c r="Q59" s="143"/>
      <c r="R59" s="30">
        <f t="shared" si="3"/>
        <v>100</v>
      </c>
      <c r="S59" s="62">
        <v>20</v>
      </c>
      <c r="T59" s="143">
        <f>7+4+32</f>
        <v>43</v>
      </c>
      <c r="U59" s="13">
        <f t="shared" si="4"/>
        <v>77</v>
      </c>
      <c r="V59" s="62"/>
      <c r="W59" s="143">
        <f>9+4+44+2</f>
        <v>59</v>
      </c>
      <c r="X59" s="13">
        <f t="shared" si="5"/>
        <v>18</v>
      </c>
      <c r="Y59" s="62">
        <v>30</v>
      </c>
      <c r="Z59" s="143"/>
      <c r="AA59" s="13">
        <f t="shared" si="27"/>
        <v>48</v>
      </c>
      <c r="AB59" s="62">
        <v>30</v>
      </c>
      <c r="AC59" s="143">
        <f>2+9+13</f>
        <v>24</v>
      </c>
      <c r="AD59" s="13">
        <f t="shared" si="28"/>
        <v>54</v>
      </c>
      <c r="AE59" s="62">
        <v>40</v>
      </c>
      <c r="AF59" s="143">
        <f>4+5+11+1</f>
        <v>21</v>
      </c>
      <c r="AG59" s="13">
        <f t="shared" si="29"/>
        <v>73</v>
      </c>
      <c r="AH59" s="62">
        <v>40</v>
      </c>
      <c r="AI59" s="143">
        <f>8+14+35+1</f>
        <v>58</v>
      </c>
      <c r="AJ59" s="13">
        <f t="shared" si="30"/>
        <v>55</v>
      </c>
      <c r="AK59" s="62"/>
      <c r="AL59" s="143"/>
      <c r="AM59" s="13">
        <f t="shared" si="6"/>
        <v>55</v>
      </c>
      <c r="AN59" s="62">
        <v>30</v>
      </c>
      <c r="AO59" s="143">
        <f>5+3+20+1</f>
        <v>29</v>
      </c>
      <c r="AP59" s="13">
        <f t="shared" si="7"/>
        <v>56</v>
      </c>
      <c r="AQ59" s="62">
        <v>30</v>
      </c>
      <c r="AR59" s="143">
        <f>1+5+44</f>
        <v>50</v>
      </c>
      <c r="AS59" s="13">
        <f t="shared" si="8"/>
        <v>36</v>
      </c>
      <c r="AT59" s="62"/>
      <c r="AU59" s="143"/>
      <c r="AV59" s="13">
        <f t="shared" si="9"/>
        <v>36</v>
      </c>
      <c r="AW59" s="62">
        <v>30</v>
      </c>
      <c r="AX59" s="143">
        <f>2+8+19</f>
        <v>29</v>
      </c>
      <c r="AY59" s="13">
        <f t="shared" si="10"/>
        <v>37</v>
      </c>
      <c r="AZ59" s="62">
        <f>50</f>
        <v>50</v>
      </c>
      <c r="BA59" s="143">
        <f>3+10+22</f>
        <v>35</v>
      </c>
      <c r="BB59" s="13">
        <f t="shared" si="11"/>
        <v>52</v>
      </c>
      <c r="BC59" s="62">
        <f>40+15</f>
        <v>55</v>
      </c>
      <c r="BD59" s="143">
        <f>4+15+47</f>
        <v>66</v>
      </c>
      <c r="BE59" s="13">
        <f t="shared" si="12"/>
        <v>41</v>
      </c>
      <c r="BF59" s="62"/>
      <c r="BG59" s="143"/>
      <c r="BH59" s="13">
        <f t="shared" si="13"/>
        <v>41</v>
      </c>
      <c r="BI59" s="62">
        <v>40</v>
      </c>
      <c r="BJ59" s="143">
        <f>2+3+14</f>
        <v>19</v>
      </c>
      <c r="BK59" s="13">
        <f t="shared" si="14"/>
        <v>62</v>
      </c>
      <c r="BL59" s="62">
        <f>30</f>
        <v>30</v>
      </c>
      <c r="BM59" s="143">
        <f>5+15+38</f>
        <v>58</v>
      </c>
      <c r="BN59" s="13">
        <f t="shared" si="15"/>
        <v>34</v>
      </c>
      <c r="BO59" s="62"/>
      <c r="BP59" s="143">
        <f>1+1+2</f>
        <v>4</v>
      </c>
      <c r="BQ59" s="13">
        <f t="shared" si="16"/>
        <v>30</v>
      </c>
      <c r="BR59" s="62">
        <v>30</v>
      </c>
      <c r="BS59" s="143">
        <f>3+5+19</f>
        <v>27</v>
      </c>
      <c r="BT59" s="13">
        <f t="shared" si="17"/>
        <v>33</v>
      </c>
      <c r="BU59" s="62">
        <v>50</v>
      </c>
      <c r="BV59" s="143">
        <f>2+5+23</f>
        <v>30</v>
      </c>
      <c r="BW59" s="13">
        <f t="shared" si="18"/>
        <v>53</v>
      </c>
      <c r="BX59" s="62">
        <v>40</v>
      </c>
      <c r="BY59" s="143">
        <f>6+10+41</f>
        <v>57</v>
      </c>
      <c r="BZ59" s="13">
        <f t="shared" si="19"/>
        <v>36</v>
      </c>
      <c r="CA59" s="62"/>
      <c r="CB59" s="143"/>
      <c r="CC59" s="13">
        <f t="shared" si="20"/>
        <v>36</v>
      </c>
      <c r="CD59" s="62">
        <v>40</v>
      </c>
      <c r="CE59" s="143">
        <f>1+3+5+27</f>
        <v>36</v>
      </c>
      <c r="CF59" s="13">
        <f t="shared" si="21"/>
        <v>40</v>
      </c>
      <c r="CG59" s="62">
        <v>30</v>
      </c>
      <c r="CH59" s="143">
        <f>1+4+14+28</f>
        <v>47</v>
      </c>
      <c r="CI59" s="13">
        <f t="shared" si="31"/>
        <v>23</v>
      </c>
      <c r="CJ59" s="62">
        <v>10</v>
      </c>
      <c r="CK59" s="143"/>
      <c r="CL59" s="13">
        <f t="shared" si="32"/>
        <v>33</v>
      </c>
      <c r="CM59" s="62">
        <v>30</v>
      </c>
      <c r="CN59" s="143">
        <f>2+5+21</f>
        <v>28</v>
      </c>
      <c r="CO59" s="13">
        <f t="shared" si="22"/>
        <v>35</v>
      </c>
      <c r="CP59" s="61">
        <v>50</v>
      </c>
      <c r="CQ59" s="143">
        <f>3+5+17</f>
        <v>25</v>
      </c>
      <c r="CR59" s="13">
        <f t="shared" si="33"/>
        <v>60</v>
      </c>
      <c r="CS59" s="62">
        <v>40</v>
      </c>
      <c r="CT59" s="143">
        <f>5+10+44</f>
        <v>59</v>
      </c>
      <c r="CU59" s="14">
        <f t="shared" si="23"/>
        <v>41</v>
      </c>
      <c r="CV59" s="5">
        <f t="shared" si="36"/>
        <v>985</v>
      </c>
      <c r="CW59" s="4">
        <f t="shared" si="36"/>
        <v>960</v>
      </c>
      <c r="CX59" s="6">
        <f t="shared" si="25"/>
        <v>41</v>
      </c>
      <c r="CY59" s="162">
        <v>214</v>
      </c>
      <c r="CZ59" s="171">
        <f t="shared" si="26"/>
        <v>8774</v>
      </c>
      <c r="DB59" s="2">
        <f t="shared" si="34"/>
        <v>41</v>
      </c>
      <c r="DC59" s="61"/>
      <c r="DD59" s="143"/>
      <c r="DE59" s="149">
        <f t="shared" si="35"/>
        <v>41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10</v>
      </c>
      <c r="G60" s="62">
        <f>24-5-12</f>
        <v>7</v>
      </c>
      <c r="H60" s="143">
        <f>12</f>
        <v>12</v>
      </c>
      <c r="I60" s="13">
        <f t="shared" si="0"/>
        <v>5</v>
      </c>
      <c r="J60" s="62">
        <f>24-9</f>
        <v>15</v>
      </c>
      <c r="K60" s="143">
        <f>7</f>
        <v>7</v>
      </c>
      <c r="L60" s="13">
        <f t="shared" si="1"/>
        <v>13</v>
      </c>
      <c r="M60" s="62">
        <f>24+24-5+2</f>
        <v>45</v>
      </c>
      <c r="N60" s="143">
        <f>15</f>
        <v>15</v>
      </c>
      <c r="O60" s="13">
        <f t="shared" si="2"/>
        <v>43</v>
      </c>
      <c r="P60" s="62"/>
      <c r="Q60" s="143"/>
      <c r="R60" s="30">
        <f t="shared" si="3"/>
        <v>43</v>
      </c>
      <c r="S60" s="62">
        <v>24</v>
      </c>
      <c r="T60" s="143">
        <f>11</f>
        <v>11</v>
      </c>
      <c r="U60" s="13">
        <f t="shared" si="4"/>
        <v>56</v>
      </c>
      <c r="V60" s="62"/>
      <c r="W60" s="143">
        <f>28+7+4+6</f>
        <v>45</v>
      </c>
      <c r="X60" s="13">
        <f t="shared" si="5"/>
        <v>11</v>
      </c>
      <c r="Y60" s="62">
        <v>24</v>
      </c>
      <c r="Z60" s="143">
        <f>6+5+3</f>
        <v>14</v>
      </c>
      <c r="AA60" s="13">
        <f t="shared" si="27"/>
        <v>21</v>
      </c>
      <c r="AB60" s="62">
        <v>24</v>
      </c>
      <c r="AC60" s="143">
        <f>6+1</f>
        <v>7</v>
      </c>
      <c r="AD60" s="13">
        <f t="shared" si="28"/>
        <v>38</v>
      </c>
      <c r="AE60" s="62">
        <v>24</v>
      </c>
      <c r="AF60" s="143">
        <f>16+5+7+5+7</f>
        <v>40</v>
      </c>
      <c r="AG60" s="13">
        <f t="shared" si="29"/>
        <v>22</v>
      </c>
      <c r="AH60" s="62">
        <v>24</v>
      </c>
      <c r="AI60" s="143">
        <f>11+3+6+3+7</f>
        <v>30</v>
      </c>
      <c r="AJ60" s="13">
        <f t="shared" si="30"/>
        <v>16</v>
      </c>
      <c r="AK60" s="62"/>
      <c r="AL60" s="143"/>
      <c r="AM60" s="13">
        <f t="shared" si="6"/>
        <v>16</v>
      </c>
      <c r="AN60" s="62">
        <v>24</v>
      </c>
      <c r="AO60" s="143">
        <f>8</f>
        <v>8</v>
      </c>
      <c r="AP60" s="13">
        <f t="shared" si="7"/>
        <v>32</v>
      </c>
      <c r="AQ60" s="62">
        <v>24</v>
      </c>
      <c r="AR60" s="143">
        <f>22+6+4+5+6+7</f>
        <v>50</v>
      </c>
      <c r="AS60" s="13">
        <f t="shared" si="8"/>
        <v>6</v>
      </c>
      <c r="AT60" s="62"/>
      <c r="AU60" s="143"/>
      <c r="AV60" s="13">
        <f t="shared" si="9"/>
        <v>6</v>
      </c>
      <c r="AW60" s="62">
        <f>-16+24+15</f>
        <v>23</v>
      </c>
      <c r="AX60" s="143">
        <f>6+3+1+1</f>
        <v>11</v>
      </c>
      <c r="AY60" s="13">
        <f t="shared" si="10"/>
        <v>18</v>
      </c>
      <c r="AZ60" s="62">
        <v>24</v>
      </c>
      <c r="BA60" s="143">
        <f>8+5</f>
        <v>13</v>
      </c>
      <c r="BB60" s="13">
        <f t="shared" si="11"/>
        <v>29</v>
      </c>
      <c r="BC60" s="62">
        <f>-3+24</f>
        <v>21</v>
      </c>
      <c r="BD60" s="143">
        <f>29+7+4</f>
        <v>40</v>
      </c>
      <c r="BE60" s="13">
        <f t="shared" si="12"/>
        <v>10</v>
      </c>
      <c r="BF60" s="62"/>
      <c r="BG60" s="143"/>
      <c r="BH60" s="13">
        <f t="shared" si="13"/>
        <v>10</v>
      </c>
      <c r="BI60" s="62">
        <f>-6+24</f>
        <v>18</v>
      </c>
      <c r="BJ60" s="143">
        <f>10</f>
        <v>10</v>
      </c>
      <c r="BK60" s="13">
        <f t="shared" si="14"/>
        <v>18</v>
      </c>
      <c r="BL60" s="62">
        <f>-6-7-4-3+48</f>
        <v>28</v>
      </c>
      <c r="BM60" s="143">
        <f>18</f>
        <v>18</v>
      </c>
      <c r="BN60" s="13">
        <f t="shared" si="15"/>
        <v>28</v>
      </c>
      <c r="BO60" s="62"/>
      <c r="BP60" s="143">
        <f>1+4</f>
        <v>5</v>
      </c>
      <c r="BQ60" s="13">
        <f t="shared" si="16"/>
        <v>23</v>
      </c>
      <c r="BR60" s="62">
        <f>-6-5+24+5</f>
        <v>18</v>
      </c>
      <c r="BS60" s="143">
        <f>12+5+6</f>
        <v>23</v>
      </c>
      <c r="BT60" s="13">
        <f t="shared" si="17"/>
        <v>18</v>
      </c>
      <c r="BU60" s="62">
        <v>24</v>
      </c>
      <c r="BV60" s="143">
        <f>10</f>
        <v>10</v>
      </c>
      <c r="BW60" s="13">
        <f t="shared" si="18"/>
        <v>32</v>
      </c>
      <c r="BX60" s="62">
        <v>24</v>
      </c>
      <c r="BY60" s="143">
        <f>20+10</f>
        <v>30</v>
      </c>
      <c r="BZ60" s="13">
        <f t="shared" si="19"/>
        <v>26</v>
      </c>
      <c r="CA60" s="62"/>
      <c r="CB60" s="143"/>
      <c r="CC60" s="13">
        <f t="shared" si="20"/>
        <v>26</v>
      </c>
      <c r="CD60" s="62">
        <f>-6+24</f>
        <v>18</v>
      </c>
      <c r="CE60" s="143">
        <f>7+7+12</f>
        <v>26</v>
      </c>
      <c r="CF60" s="13">
        <f t="shared" si="21"/>
        <v>18</v>
      </c>
      <c r="CG60" s="62">
        <f>48-11-19</f>
        <v>18</v>
      </c>
      <c r="CH60" s="143">
        <f>18+6+6+4+4+6+5</f>
        <v>49</v>
      </c>
      <c r="CI60" s="13">
        <f t="shared" si="31"/>
        <v>-13</v>
      </c>
      <c r="CJ60" s="62">
        <v>24</v>
      </c>
      <c r="CK60" s="143"/>
      <c r="CL60" s="13">
        <f t="shared" si="32"/>
        <v>11</v>
      </c>
      <c r="CM60" s="62">
        <f>-8+6+24</f>
        <v>22</v>
      </c>
      <c r="CN60" s="143">
        <f>11</f>
        <v>11</v>
      </c>
      <c r="CO60" s="13">
        <f t="shared" si="22"/>
        <v>22</v>
      </c>
      <c r="CP60" s="61">
        <v>24</v>
      </c>
      <c r="CQ60" s="143">
        <f>3+1+1+1+13</f>
        <v>19</v>
      </c>
      <c r="CR60" s="13">
        <f t="shared" si="33"/>
        <v>27</v>
      </c>
      <c r="CS60" s="62">
        <f>-7+24</f>
        <v>17</v>
      </c>
      <c r="CT60" s="143">
        <f>3+24</f>
        <v>27</v>
      </c>
      <c r="CU60" s="14">
        <f t="shared" si="23"/>
        <v>17</v>
      </c>
      <c r="CV60" s="5">
        <f t="shared" si="36"/>
        <v>538</v>
      </c>
      <c r="CW60" s="4">
        <f t="shared" si="36"/>
        <v>531</v>
      </c>
      <c r="CX60" s="6">
        <f t="shared" si="25"/>
        <v>17</v>
      </c>
      <c r="CY60" s="162">
        <v>28</v>
      </c>
      <c r="CZ60" s="171">
        <f t="shared" si="26"/>
        <v>476</v>
      </c>
      <c r="DB60" s="2">
        <f t="shared" si="34"/>
        <v>17</v>
      </c>
      <c r="DC60" s="61"/>
      <c r="DD60" s="143"/>
      <c r="DE60" s="149">
        <f t="shared" si="35"/>
        <v>17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1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264</v>
      </c>
      <c r="G63" s="62">
        <v>420</v>
      </c>
      <c r="H63" s="143">
        <f>30+19+220</f>
        <v>269</v>
      </c>
      <c r="I63" s="13">
        <f t="shared" si="0"/>
        <v>415</v>
      </c>
      <c r="J63" s="62"/>
      <c r="K63" s="143">
        <f>30+4+120</f>
        <v>154</v>
      </c>
      <c r="L63" s="13">
        <f t="shared" si="1"/>
        <v>261</v>
      </c>
      <c r="M63" s="62">
        <f>-60+280+280</f>
        <v>500</v>
      </c>
      <c r="N63" s="143">
        <f>30+240</f>
        <v>270</v>
      </c>
      <c r="O63" s="13">
        <f t="shared" si="2"/>
        <v>491</v>
      </c>
      <c r="P63" s="62"/>
      <c r="Q63" s="143"/>
      <c r="R63" s="30">
        <f t="shared" si="3"/>
        <v>491</v>
      </c>
      <c r="S63" s="62"/>
      <c r="T63" s="143">
        <f>5+20+150</f>
        <v>175</v>
      </c>
      <c r="U63" s="13">
        <f t="shared" si="4"/>
        <v>316</v>
      </c>
      <c r="V63" s="62"/>
      <c r="W63" s="143">
        <f>26+200</f>
        <v>226</v>
      </c>
      <c r="X63" s="13">
        <f t="shared" si="5"/>
        <v>90</v>
      </c>
      <c r="Y63" s="62">
        <v>420</v>
      </c>
      <c r="Z63" s="143"/>
      <c r="AA63" s="13">
        <f t="shared" si="27"/>
        <v>510</v>
      </c>
      <c r="AB63" s="62"/>
      <c r="AC63" s="143">
        <f>30+2+90</f>
        <v>122</v>
      </c>
      <c r="AD63" s="13">
        <f t="shared" si="28"/>
        <v>388</v>
      </c>
      <c r="AE63" s="62"/>
      <c r="AF63" s="143">
        <f>2+40</f>
        <v>42</v>
      </c>
      <c r="AG63" s="13">
        <f t="shared" si="29"/>
        <v>346</v>
      </c>
      <c r="AH63" s="62"/>
      <c r="AI63" s="143">
        <f>2+60</f>
        <v>62</v>
      </c>
      <c r="AJ63" s="13">
        <f t="shared" si="30"/>
        <v>284</v>
      </c>
      <c r="AK63" s="62"/>
      <c r="AL63" s="143"/>
      <c r="AM63" s="13">
        <f t="shared" si="6"/>
        <v>284</v>
      </c>
      <c r="AN63" s="62">
        <v>280</v>
      </c>
      <c r="AO63" s="143">
        <f>4+105</f>
        <v>109</v>
      </c>
      <c r="AP63" s="13">
        <f t="shared" si="7"/>
        <v>455</v>
      </c>
      <c r="AQ63" s="62"/>
      <c r="AR63" s="143">
        <f>8+90</f>
        <v>98</v>
      </c>
      <c r="AS63" s="13">
        <f t="shared" si="8"/>
        <v>357</v>
      </c>
      <c r="AT63" s="62"/>
      <c r="AU63" s="143"/>
      <c r="AV63" s="13">
        <f t="shared" si="9"/>
        <v>357</v>
      </c>
      <c r="AW63" s="62">
        <v>140</v>
      </c>
      <c r="AX63" s="143">
        <f>2+140</f>
        <v>142</v>
      </c>
      <c r="AY63" s="13">
        <f t="shared" si="10"/>
        <v>355</v>
      </c>
      <c r="AZ63" s="64">
        <v>140</v>
      </c>
      <c r="BA63" s="143">
        <f>20+2+110</f>
        <v>132</v>
      </c>
      <c r="BB63" s="13">
        <f t="shared" si="11"/>
        <v>363</v>
      </c>
      <c r="BC63" s="62"/>
      <c r="BD63" s="143">
        <f>15+2+130+1</f>
        <v>148</v>
      </c>
      <c r="BE63" s="13">
        <f t="shared" si="12"/>
        <v>215</v>
      </c>
      <c r="BF63" s="62"/>
      <c r="BG63" s="143"/>
      <c r="BH63" s="13">
        <f t="shared" si="13"/>
        <v>215</v>
      </c>
      <c r="BI63" s="62">
        <f>-20+280+280</f>
        <v>540</v>
      </c>
      <c r="BJ63" s="143">
        <f>4+200</f>
        <v>204</v>
      </c>
      <c r="BK63" s="13">
        <f t="shared" si="14"/>
        <v>551</v>
      </c>
      <c r="BL63" s="62"/>
      <c r="BM63" s="143">
        <f>20+100</f>
        <v>120</v>
      </c>
      <c r="BN63" s="13">
        <f t="shared" si="15"/>
        <v>431</v>
      </c>
      <c r="BO63" s="62"/>
      <c r="BP63" s="143"/>
      <c r="BQ63" s="13">
        <f t="shared" si="16"/>
        <v>431</v>
      </c>
      <c r="BR63" s="62">
        <v>140</v>
      </c>
      <c r="BS63" s="143">
        <f>4+210</f>
        <v>214</v>
      </c>
      <c r="BT63" s="13">
        <f t="shared" si="17"/>
        <v>357</v>
      </c>
      <c r="BU63" s="62">
        <v>280</v>
      </c>
      <c r="BV63" s="143">
        <f>10+135</f>
        <v>145</v>
      </c>
      <c r="BW63" s="13">
        <f t="shared" si="18"/>
        <v>492</v>
      </c>
      <c r="BX63" s="62"/>
      <c r="BY63" s="143">
        <f>20+2+165</f>
        <v>187</v>
      </c>
      <c r="BZ63" s="13">
        <f t="shared" si="19"/>
        <v>305</v>
      </c>
      <c r="CA63" s="62"/>
      <c r="CB63" s="143"/>
      <c r="CC63" s="13">
        <f t="shared" si="20"/>
        <v>305</v>
      </c>
      <c r="CD63" s="62">
        <v>280</v>
      </c>
      <c r="CE63" s="143">
        <f>15+135</f>
        <v>150</v>
      </c>
      <c r="CF63" s="13">
        <f t="shared" si="21"/>
        <v>435</v>
      </c>
      <c r="CG63" s="62"/>
      <c r="CH63" s="143">
        <f>15+2+175</f>
        <v>192</v>
      </c>
      <c r="CI63" s="13">
        <f t="shared" si="31"/>
        <v>243</v>
      </c>
      <c r="CJ63" s="62"/>
      <c r="CK63" s="143"/>
      <c r="CL63" s="13">
        <f t="shared" si="32"/>
        <v>243</v>
      </c>
      <c r="CM63" s="62">
        <v>280</v>
      </c>
      <c r="CN63" s="143">
        <f>10+2+105</f>
        <v>117</v>
      </c>
      <c r="CO63" s="13">
        <f t="shared" si="22"/>
        <v>406</v>
      </c>
      <c r="CP63" s="61"/>
      <c r="CQ63" s="143">
        <f>20+4+130</f>
        <v>154</v>
      </c>
      <c r="CR63" s="13">
        <f t="shared" si="33"/>
        <v>252</v>
      </c>
      <c r="CS63" s="62"/>
      <c r="CT63" s="143">
        <f>10+2+50</f>
        <v>62</v>
      </c>
      <c r="CU63" s="14">
        <f t="shared" si="23"/>
        <v>190</v>
      </c>
      <c r="CV63" s="5">
        <f t="shared" si="36"/>
        <v>3420</v>
      </c>
      <c r="CW63" s="4">
        <f t="shared" si="36"/>
        <v>3494</v>
      </c>
      <c r="CX63" s="6">
        <f t="shared" si="25"/>
        <v>190</v>
      </c>
      <c r="CY63" s="162">
        <v>46</v>
      </c>
      <c r="CZ63" s="171">
        <f t="shared" si="26"/>
        <v>8740</v>
      </c>
      <c r="DB63" s="2">
        <f t="shared" si="34"/>
        <v>190</v>
      </c>
      <c r="DC63" s="61"/>
      <c r="DD63" s="143"/>
      <c r="DE63" s="149">
        <f t="shared" si="35"/>
        <v>190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5.6999999999999984</v>
      </c>
      <c r="G64" s="62"/>
      <c r="H64" s="143"/>
      <c r="I64" s="13">
        <f t="shared" si="0"/>
        <v>5.6999999999999984</v>
      </c>
      <c r="J64" s="62"/>
      <c r="K64" s="143"/>
      <c r="L64" s="13">
        <f t="shared" si="1"/>
        <v>5.6999999999999984</v>
      </c>
      <c r="M64" s="62"/>
      <c r="N64" s="143"/>
      <c r="O64" s="13">
        <f t="shared" si="2"/>
        <v>5.6999999999999984</v>
      </c>
      <c r="P64" s="62"/>
      <c r="Q64" s="143"/>
      <c r="R64" s="30">
        <f t="shared" si="3"/>
        <v>5.6999999999999984</v>
      </c>
      <c r="S64" s="62"/>
      <c r="T64" s="143"/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2"/>
      <c r="AI64" s="143"/>
      <c r="AJ64" s="13">
        <f t="shared" si="30"/>
        <v>5.6999999999999984</v>
      </c>
      <c r="AK64" s="62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43"/>
      <c r="BB64" s="13">
        <f t="shared" si="11"/>
        <v>5.6999999999999984</v>
      </c>
      <c r="BC64" s="62"/>
      <c r="BD64" s="143"/>
      <c r="BE64" s="13">
        <f t="shared" si="12"/>
        <v>5.6999999999999984</v>
      </c>
      <c r="BF64" s="62"/>
      <c r="BG64" s="143"/>
      <c r="BH64" s="13">
        <f t="shared" si="13"/>
        <v>5.6999999999999984</v>
      </c>
      <c r="BI64" s="62"/>
      <c r="BJ64" s="143"/>
      <c r="BK64" s="13">
        <f t="shared" si="14"/>
        <v>5.6999999999999984</v>
      </c>
      <c r="BL64" s="62"/>
      <c r="BM64" s="143"/>
      <c r="BN64" s="13">
        <f t="shared" si="15"/>
        <v>5.6999999999999984</v>
      </c>
      <c r="BO64" s="62"/>
      <c r="BP64" s="143"/>
      <c r="BQ64" s="13">
        <f t="shared" si="16"/>
        <v>5.6999999999999984</v>
      </c>
      <c r="BR64" s="62"/>
      <c r="BS64" s="143"/>
      <c r="BT64" s="13">
        <f t="shared" si="17"/>
        <v>5.6999999999999984</v>
      </c>
      <c r="BU64" s="62"/>
      <c r="BV64" s="143"/>
      <c r="BW64" s="13">
        <f t="shared" si="18"/>
        <v>5.6999999999999984</v>
      </c>
      <c r="BX64" s="62"/>
      <c r="BY64" s="143"/>
      <c r="BZ64" s="13">
        <f t="shared" si="19"/>
        <v>5.6999999999999984</v>
      </c>
      <c r="CA64" s="62"/>
      <c r="CB64" s="143"/>
      <c r="CC64" s="13">
        <f t="shared" si="20"/>
        <v>5.6999999999999984</v>
      </c>
      <c r="CD64" s="62"/>
      <c r="CE64" s="143"/>
      <c r="CF64" s="13">
        <f t="shared" si="21"/>
        <v>5.6999999999999984</v>
      </c>
      <c r="CG64" s="62"/>
      <c r="CH64" s="143"/>
      <c r="CI64" s="13">
        <f t="shared" si="31"/>
        <v>5.6999999999999984</v>
      </c>
      <c r="CJ64" s="62"/>
      <c r="CK64" s="143"/>
      <c r="CL64" s="13">
        <f t="shared" si="32"/>
        <v>5.6999999999999984</v>
      </c>
      <c r="CM64" s="62"/>
      <c r="CN64" s="143"/>
      <c r="CO64" s="13">
        <f t="shared" si="22"/>
        <v>5.6999999999999984</v>
      </c>
      <c r="CP64" s="61"/>
      <c r="CQ64" s="143"/>
      <c r="CR64" s="13">
        <f t="shared" si="33"/>
        <v>5.6999999999999984</v>
      </c>
      <c r="CS64" s="62"/>
      <c r="CT64" s="143"/>
      <c r="CU64" s="14">
        <f t="shared" si="23"/>
        <v>5.6999999999999984</v>
      </c>
      <c r="CV64" s="5">
        <f t="shared" si="36"/>
        <v>0</v>
      </c>
      <c r="CW64" s="4">
        <f t="shared" si="36"/>
        <v>0</v>
      </c>
      <c r="CX64" s="6">
        <f t="shared" si="25"/>
        <v>5.6999999999999984</v>
      </c>
      <c r="CY64" s="162">
        <v>0</v>
      </c>
      <c r="CZ64" s="171">
        <f t="shared" si="26"/>
        <v>0</v>
      </c>
      <c r="DB64" s="2">
        <f t="shared" si="34"/>
        <v>5.6999999999999984</v>
      </c>
      <c r="DC64" s="61"/>
      <c r="DD64" s="143"/>
      <c r="DE64" s="149">
        <f t="shared" si="35"/>
        <v>5.6999999999999984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5</v>
      </c>
      <c r="G65" s="62"/>
      <c r="H65" s="143">
        <v>5</v>
      </c>
      <c r="I65" s="13">
        <f t="shared" si="0"/>
        <v>0</v>
      </c>
      <c r="J65" s="62">
        <v>2</v>
      </c>
      <c r="K65" s="143"/>
      <c r="L65" s="13">
        <f t="shared" si="1"/>
        <v>2</v>
      </c>
      <c r="M65" s="62">
        <v>5</v>
      </c>
      <c r="N65" s="143">
        <f>2</f>
        <v>2</v>
      </c>
      <c r="O65" s="13">
        <f t="shared" si="2"/>
        <v>5</v>
      </c>
      <c r="P65" s="62"/>
      <c r="Q65" s="143"/>
      <c r="R65" s="30">
        <f t="shared" si="3"/>
        <v>5</v>
      </c>
      <c r="S65" s="62"/>
      <c r="T65" s="143">
        <f>1</f>
        <v>1</v>
      </c>
      <c r="U65" s="13">
        <f t="shared" si="4"/>
        <v>4</v>
      </c>
      <c r="V65" s="62"/>
      <c r="W65" s="143">
        <v>4</v>
      </c>
      <c r="X65" s="13">
        <f t="shared" si="5"/>
        <v>0</v>
      </c>
      <c r="Y65" s="62">
        <f>-3+11</f>
        <v>8</v>
      </c>
      <c r="Z65" s="143">
        <v>7</v>
      </c>
      <c r="AA65" s="13">
        <f t="shared" si="27"/>
        <v>1</v>
      </c>
      <c r="AB65" s="62">
        <f>-1+7</f>
        <v>6</v>
      </c>
      <c r="AC65" s="143">
        <f>1+5+1</f>
        <v>7</v>
      </c>
      <c r="AD65" s="13">
        <f t="shared" si="28"/>
        <v>0</v>
      </c>
      <c r="AE65" s="62">
        <v>1</v>
      </c>
      <c r="AF65" s="143"/>
      <c r="AG65" s="13">
        <f t="shared" si="29"/>
        <v>1</v>
      </c>
      <c r="AH65" s="62">
        <v>2</v>
      </c>
      <c r="AI65" s="143">
        <f>1+1</f>
        <v>2</v>
      </c>
      <c r="AJ65" s="13">
        <f t="shared" si="30"/>
        <v>1</v>
      </c>
      <c r="AK65" s="62"/>
      <c r="AL65" s="143"/>
      <c r="AM65" s="13">
        <f t="shared" si="6"/>
        <v>1</v>
      </c>
      <c r="AN65" s="62">
        <f>-1+2</f>
        <v>1</v>
      </c>
      <c r="AO65" s="143">
        <f>1+1</f>
        <v>2</v>
      </c>
      <c r="AP65" s="13">
        <f t="shared" si="7"/>
        <v>0</v>
      </c>
      <c r="AQ65" s="62">
        <f>-2+4</f>
        <v>2</v>
      </c>
      <c r="AR65" s="143">
        <v>2</v>
      </c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>
        <v>10</v>
      </c>
      <c r="BD65" s="143">
        <f>5+2+2</f>
        <v>9</v>
      </c>
      <c r="BE65" s="13">
        <f t="shared" si="12"/>
        <v>1</v>
      </c>
      <c r="BF65" s="62"/>
      <c r="BG65" s="143"/>
      <c r="BH65" s="13">
        <f t="shared" si="13"/>
        <v>1</v>
      </c>
      <c r="BI65" s="62"/>
      <c r="BJ65" s="143">
        <f>1</f>
        <v>1</v>
      </c>
      <c r="BK65" s="13">
        <f t="shared" si="14"/>
        <v>0</v>
      </c>
      <c r="BL65" s="62">
        <v>6</v>
      </c>
      <c r="BM65" s="143"/>
      <c r="BN65" s="13">
        <f t="shared" si="15"/>
        <v>6</v>
      </c>
      <c r="BO65" s="62"/>
      <c r="BP65" s="143">
        <f>2+3</f>
        <v>5</v>
      </c>
      <c r="BQ65" s="13">
        <f t="shared" si="16"/>
        <v>1</v>
      </c>
      <c r="BR65" s="62">
        <v>5</v>
      </c>
      <c r="BS65" s="143">
        <v>1</v>
      </c>
      <c r="BT65" s="13">
        <f t="shared" si="17"/>
        <v>5</v>
      </c>
      <c r="BU65" s="62"/>
      <c r="BV65" s="143">
        <f>5</f>
        <v>5</v>
      </c>
      <c r="BW65" s="13">
        <f t="shared" si="18"/>
        <v>0</v>
      </c>
      <c r="BX65" s="62">
        <v>5</v>
      </c>
      <c r="BY65" s="143"/>
      <c r="BZ65" s="13">
        <f t="shared" si="19"/>
        <v>5</v>
      </c>
      <c r="CA65" s="62"/>
      <c r="CB65" s="143"/>
      <c r="CC65" s="13">
        <f t="shared" si="20"/>
        <v>5</v>
      </c>
      <c r="CD65" s="62">
        <f>2-1+6</f>
        <v>7</v>
      </c>
      <c r="CE65" s="143">
        <f>2+3+2</f>
        <v>7</v>
      </c>
      <c r="CF65" s="13">
        <f t="shared" si="21"/>
        <v>5</v>
      </c>
      <c r="CG65" s="62"/>
      <c r="CH65" s="143">
        <f>1+4</f>
        <v>5</v>
      </c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1"/>
      <c r="CQ65" s="143"/>
      <c r="CR65" s="13">
        <f t="shared" si="33"/>
        <v>0</v>
      </c>
      <c r="CS65" s="62">
        <v>6</v>
      </c>
      <c r="CT65" s="143"/>
      <c r="CU65" s="14">
        <f t="shared" si="23"/>
        <v>6</v>
      </c>
      <c r="CV65" s="5">
        <f t="shared" si="36"/>
        <v>66</v>
      </c>
      <c r="CW65" s="4">
        <f t="shared" si="36"/>
        <v>65</v>
      </c>
      <c r="CX65" s="6">
        <f t="shared" si="25"/>
        <v>6</v>
      </c>
      <c r="CY65" s="162">
        <v>95</v>
      </c>
      <c r="CZ65" s="171">
        <f t="shared" si="26"/>
        <v>570</v>
      </c>
      <c r="DB65" s="2">
        <f t="shared" si="34"/>
        <v>6</v>
      </c>
      <c r="DC65" s="61"/>
      <c r="DD65" s="143"/>
      <c r="DE65" s="149">
        <f t="shared" si="35"/>
        <v>6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286</v>
      </c>
      <c r="C69" s="104" t="s">
        <v>21</v>
      </c>
      <c r="D69" s="34"/>
      <c r="E69" s="34"/>
      <c r="F69" s="14">
        <v>20</v>
      </c>
      <c r="G69" s="62"/>
      <c r="H69" s="143"/>
      <c r="I69" s="13">
        <f>F69+G69-H69</f>
        <v>20</v>
      </c>
      <c r="J69" s="62"/>
      <c r="K69" s="143"/>
      <c r="L69" s="13">
        <f>I69+J69-K69</f>
        <v>20</v>
      </c>
      <c r="M69" s="62"/>
      <c r="N69" s="143"/>
      <c r="O69" s="13">
        <f>L69+M69-N69</f>
        <v>20</v>
      </c>
      <c r="P69" s="62"/>
      <c r="Q69" s="143"/>
      <c r="R69" s="30">
        <f>O69+P69-Q69</f>
        <v>20</v>
      </c>
      <c r="S69" s="62"/>
      <c r="T69" s="143"/>
      <c r="U69" s="13">
        <f>R69+S69-T69</f>
        <v>20</v>
      </c>
      <c r="V69" s="62"/>
      <c r="W69" s="143"/>
      <c r="X69" s="13">
        <f>U69+V69-W69</f>
        <v>20</v>
      </c>
      <c r="Y69" s="62"/>
      <c r="Z69" s="143"/>
      <c r="AA69" s="13">
        <f>X69+Y69-Z69</f>
        <v>20</v>
      </c>
      <c r="AB69" s="62"/>
      <c r="AC69" s="143"/>
      <c r="AD69" s="13">
        <f>AA69+AB69-AC69</f>
        <v>20</v>
      </c>
      <c r="AE69" s="62"/>
      <c r="AF69" s="143">
        <v>1</v>
      </c>
      <c r="AG69" s="13">
        <f>AD69+AE69-AF69</f>
        <v>19</v>
      </c>
      <c r="AH69" s="62"/>
      <c r="AI69" s="143"/>
      <c r="AJ69" s="13">
        <f>AG69+AH69-AI69</f>
        <v>19</v>
      </c>
      <c r="AK69" s="62"/>
      <c r="AL69" s="143"/>
      <c r="AM69" s="13">
        <f>AJ69+AK69-AL69</f>
        <v>19</v>
      </c>
      <c r="AN69" s="62"/>
      <c r="AO69" s="143"/>
      <c r="AP69" s="13">
        <f>AM69+AN69-AO69</f>
        <v>19</v>
      </c>
      <c r="AQ69" s="62"/>
      <c r="AR69" s="143">
        <v>8</v>
      </c>
      <c r="AS69" s="13">
        <f>AP69+AQ69-AR69</f>
        <v>11</v>
      </c>
      <c r="AT69" s="62"/>
      <c r="AU69" s="143"/>
      <c r="AV69" s="13">
        <f>AS69+AT69-AU69</f>
        <v>11</v>
      </c>
      <c r="AW69" s="62"/>
      <c r="AX69" s="143">
        <v>3</v>
      </c>
      <c r="AY69" s="13">
        <f>AV69+AW69-AX69</f>
        <v>8</v>
      </c>
      <c r="AZ69" s="62"/>
      <c r="BA69" s="143"/>
      <c r="BB69" s="13">
        <f>AY69+AZ69-BA69</f>
        <v>8</v>
      </c>
      <c r="BC69" s="62"/>
      <c r="BD69" s="143"/>
      <c r="BE69" s="13">
        <f>BB69+BC69-BD69</f>
        <v>8</v>
      </c>
      <c r="BF69" s="62"/>
      <c r="BG69" s="143"/>
      <c r="BH69" s="13">
        <f>BE69+BF69-BG69</f>
        <v>8</v>
      </c>
      <c r="BI69" s="62"/>
      <c r="BJ69" s="143"/>
      <c r="BK69" s="13">
        <f>BH69+BI69-BJ69</f>
        <v>8</v>
      </c>
      <c r="BL69" s="62"/>
      <c r="BM69" s="143"/>
      <c r="BN69" s="13">
        <f>BK69+BL69-BM69</f>
        <v>8</v>
      </c>
      <c r="BO69" s="62"/>
      <c r="BP69" s="143">
        <v>8</v>
      </c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20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32</v>
      </c>
      <c r="G70" s="62"/>
      <c r="H70" s="143"/>
      <c r="I70" s="13">
        <f>F70+G70-H70</f>
        <v>32</v>
      </c>
      <c r="J70" s="62"/>
      <c r="K70" s="143"/>
      <c r="L70" s="13">
        <f>I70+J70-K70</f>
        <v>32</v>
      </c>
      <c r="M70" s="62"/>
      <c r="N70" s="143"/>
      <c r="O70" s="13">
        <f>L70+M70-N70</f>
        <v>32</v>
      </c>
      <c r="P70" s="62"/>
      <c r="Q70" s="143"/>
      <c r="R70" s="30">
        <f>O70+P70-Q70</f>
        <v>32</v>
      </c>
      <c r="S70" s="62"/>
      <c r="T70" s="143"/>
      <c r="U70" s="13">
        <f>R70+S70-T70</f>
        <v>32</v>
      </c>
      <c r="V70" s="62"/>
      <c r="W70" s="143"/>
      <c r="X70" s="13">
        <f>U70+V70-W70</f>
        <v>32</v>
      </c>
      <c r="Y70" s="62"/>
      <c r="Z70" s="143"/>
      <c r="AA70" s="13">
        <f>X70+Y70-Z70</f>
        <v>32</v>
      </c>
      <c r="AB70" s="62"/>
      <c r="AC70" s="143"/>
      <c r="AD70" s="13">
        <f>AA70+AB70-AC70</f>
        <v>32</v>
      </c>
      <c r="AE70" s="62"/>
      <c r="AF70" s="143"/>
      <c r="AG70" s="13">
        <f>AD70+AE70-AF70</f>
        <v>32</v>
      </c>
      <c r="AH70" s="62"/>
      <c r="AI70" s="143"/>
      <c r="AJ70" s="13">
        <f>AG70+AH70-AI70</f>
        <v>32</v>
      </c>
      <c r="AK70" s="62"/>
      <c r="AL70" s="143"/>
      <c r="AM70" s="13">
        <f>AJ70+AK70-AL70</f>
        <v>32</v>
      </c>
      <c r="AN70" s="62"/>
      <c r="AO70" s="143"/>
      <c r="AP70" s="13">
        <f>AM70+AN70-AO70</f>
        <v>32</v>
      </c>
      <c r="AQ70" s="62"/>
      <c r="AR70" s="143"/>
      <c r="AS70" s="13">
        <f>AP70+AQ70-AR70</f>
        <v>32</v>
      </c>
      <c r="AT70" s="62"/>
      <c r="AU70" s="143"/>
      <c r="AV70" s="13">
        <f>AS70+AT70-AU70</f>
        <v>32</v>
      </c>
      <c r="AW70" s="62"/>
      <c r="AX70" s="143"/>
      <c r="AY70" s="13">
        <f>AV70+AW70-AX70</f>
        <v>32</v>
      </c>
      <c r="AZ70" s="62"/>
      <c r="BA70" s="143"/>
      <c r="BB70" s="13">
        <f>AY70+AZ70-BA70</f>
        <v>32</v>
      </c>
      <c r="BC70" s="62"/>
      <c r="BD70" s="143"/>
      <c r="BE70" s="13">
        <f>BB70+BC70-BD70</f>
        <v>32</v>
      </c>
      <c r="BF70" s="62"/>
      <c r="BG70" s="143"/>
      <c r="BH70" s="13">
        <f>BE70+BF70-BG70</f>
        <v>32</v>
      </c>
      <c r="BI70" s="62"/>
      <c r="BJ70" s="143"/>
      <c r="BK70" s="13">
        <f>BH70+BI70-BJ70</f>
        <v>32</v>
      </c>
      <c r="BL70" s="62"/>
      <c r="BM70" s="143"/>
      <c r="BN70" s="13">
        <f>BK70+BL70-BM70</f>
        <v>32</v>
      </c>
      <c r="BO70" s="62"/>
      <c r="BP70" s="143"/>
      <c r="BQ70" s="13">
        <f>BN70+BO70-BP70</f>
        <v>32</v>
      </c>
      <c r="BR70" s="62"/>
      <c r="BS70" s="143"/>
      <c r="BT70" s="13">
        <f t="shared" si="37"/>
        <v>32</v>
      </c>
      <c r="BU70" s="62"/>
      <c r="BV70" s="143"/>
      <c r="BW70" s="13">
        <f>BT70+BU70-BV70</f>
        <v>32</v>
      </c>
      <c r="BX70" s="62"/>
      <c r="BY70" s="143"/>
      <c r="BZ70" s="13">
        <f t="shared" si="38"/>
        <v>32</v>
      </c>
      <c r="CA70" s="62"/>
      <c r="CB70" s="143"/>
      <c r="CC70" s="13">
        <f t="shared" si="39"/>
        <v>32</v>
      </c>
      <c r="CD70" s="62"/>
      <c r="CE70" s="143"/>
      <c r="CF70" s="13">
        <f t="shared" si="40"/>
        <v>32</v>
      </c>
      <c r="CG70" s="62"/>
      <c r="CH70" s="143"/>
      <c r="CI70" s="13">
        <f t="shared" ref="CI70:CI85" si="46">CF70+CG70-CH70</f>
        <v>32</v>
      </c>
      <c r="CJ70" s="62"/>
      <c r="CK70" s="143"/>
      <c r="CL70" s="13">
        <f t="shared" ref="CL70:CL85" si="47">CI70+CJ70-CK70</f>
        <v>32</v>
      </c>
      <c r="CM70" s="62"/>
      <c r="CN70" s="143"/>
      <c r="CO70" s="13">
        <f t="shared" si="41"/>
        <v>32</v>
      </c>
      <c r="CP70" s="62"/>
      <c r="CQ70" s="143"/>
      <c r="CR70" s="13">
        <f t="shared" ref="CR70:CR85" si="48">CO70+CP70-CQ70</f>
        <v>32</v>
      </c>
      <c r="CS70" s="62"/>
      <c r="CT70" s="143"/>
      <c r="CU70" s="14">
        <f t="shared" si="42"/>
        <v>32</v>
      </c>
      <c r="CV70" s="5">
        <f t="shared" si="43"/>
        <v>0</v>
      </c>
      <c r="CW70" s="4">
        <f t="shared" si="43"/>
        <v>0</v>
      </c>
      <c r="CX70" s="6">
        <f t="shared" si="44"/>
        <v>32</v>
      </c>
      <c r="CY70" s="162">
        <v>152</v>
      </c>
      <c r="CZ70" s="171">
        <f t="shared" si="45"/>
        <v>4864</v>
      </c>
      <c r="DB70" s="2">
        <f t="shared" ref="DB70:DB93" si="49">CU70</f>
        <v>32</v>
      </c>
      <c r="DC70" s="62"/>
      <c r="DD70" s="143"/>
      <c r="DE70" s="149">
        <f t="shared" si="35"/>
        <v>32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27</v>
      </c>
      <c r="G71" s="62"/>
      <c r="H71" s="143"/>
      <c r="I71" s="13">
        <f>F71+G71-H71</f>
        <v>27</v>
      </c>
      <c r="J71" s="62"/>
      <c r="K71" s="143"/>
      <c r="L71" s="13">
        <f>I71+J71-K71</f>
        <v>27</v>
      </c>
      <c r="M71" s="62"/>
      <c r="N71" s="143"/>
      <c r="O71" s="13">
        <f>L71+M71-N71</f>
        <v>27</v>
      </c>
      <c r="P71" s="62"/>
      <c r="Q71" s="143"/>
      <c r="R71" s="13">
        <f>O71+P71-Q71</f>
        <v>27</v>
      </c>
      <c r="S71" s="62"/>
      <c r="T71" s="143"/>
      <c r="U71" s="13">
        <f>R71+S71-T71</f>
        <v>27</v>
      </c>
      <c r="V71" s="62"/>
      <c r="W71" s="143"/>
      <c r="X71" s="13">
        <f>U71+V71-W71</f>
        <v>27</v>
      </c>
      <c r="Y71" s="62"/>
      <c r="Z71" s="143">
        <v>4</v>
      </c>
      <c r="AA71" s="13">
        <f>X71+Y71-Z71</f>
        <v>23</v>
      </c>
      <c r="AB71" s="62"/>
      <c r="AC71" s="143"/>
      <c r="AD71" s="13">
        <f>AA71+AB71-AC71</f>
        <v>23</v>
      </c>
      <c r="AE71" s="62"/>
      <c r="AF71" s="143"/>
      <c r="AG71" s="13">
        <f>AD71+AE71-AF71</f>
        <v>23</v>
      </c>
      <c r="AH71" s="62"/>
      <c r="AI71" s="143"/>
      <c r="AJ71" s="13">
        <f>AG71+AH71-AI71</f>
        <v>23</v>
      </c>
      <c r="AK71" s="62"/>
      <c r="AL71" s="143"/>
      <c r="AM71" s="13">
        <f>AJ71+AK71-AL71</f>
        <v>23</v>
      </c>
      <c r="AN71" s="62"/>
      <c r="AO71" s="143"/>
      <c r="AP71" s="13">
        <f>AM71+AN71-AO71</f>
        <v>23</v>
      </c>
      <c r="AQ71" s="62"/>
      <c r="AR71" s="143">
        <v>3</v>
      </c>
      <c r="AS71" s="13">
        <f>AP71+AQ71-AR71</f>
        <v>20</v>
      </c>
      <c r="AT71" s="62"/>
      <c r="AU71" s="143"/>
      <c r="AV71" s="13">
        <f>AS71+AT71-AU71</f>
        <v>20</v>
      </c>
      <c r="AW71" s="62"/>
      <c r="AX71" s="143"/>
      <c r="AY71" s="13">
        <f>AV71+AW71-AX71</f>
        <v>20</v>
      </c>
      <c r="AZ71" s="62"/>
      <c r="BA71" s="143"/>
      <c r="BB71" s="13">
        <f>AY71+AZ71-BA71</f>
        <v>20</v>
      </c>
      <c r="BC71" s="62"/>
      <c r="BD71" s="143">
        <v>2</v>
      </c>
      <c r="BE71" s="13">
        <f>BB71+BC71-BD71</f>
        <v>18</v>
      </c>
      <c r="BF71" s="62"/>
      <c r="BG71" s="143"/>
      <c r="BH71" s="13">
        <f>BE71+BF71-BG71</f>
        <v>18</v>
      </c>
      <c r="BI71" s="62"/>
      <c r="BJ71" s="143"/>
      <c r="BK71" s="13">
        <f>BH71+BI71-BJ71</f>
        <v>18</v>
      </c>
      <c r="BL71" s="62"/>
      <c r="BM71" s="143"/>
      <c r="BN71" s="13">
        <f>BK71+BL71-BM71</f>
        <v>18</v>
      </c>
      <c r="BO71" s="62"/>
      <c r="BP71" s="143"/>
      <c r="BQ71" s="13">
        <f>BN71+BO71-BP71</f>
        <v>18</v>
      </c>
      <c r="BR71" s="62"/>
      <c r="BS71" s="143"/>
      <c r="BT71" s="13">
        <f t="shared" si="37"/>
        <v>18</v>
      </c>
      <c r="BU71" s="62"/>
      <c r="BV71" s="143"/>
      <c r="BW71" s="13">
        <f>BT71+BU71-BV71</f>
        <v>18</v>
      </c>
      <c r="BX71" s="62"/>
      <c r="BY71" s="143"/>
      <c r="BZ71" s="13">
        <f t="shared" si="38"/>
        <v>18</v>
      </c>
      <c r="CA71" s="62"/>
      <c r="CB71" s="143"/>
      <c r="CC71" s="13">
        <f t="shared" si="39"/>
        <v>18</v>
      </c>
      <c r="CD71" s="62"/>
      <c r="CE71" s="143"/>
      <c r="CF71" s="13">
        <f t="shared" si="40"/>
        <v>18</v>
      </c>
      <c r="CG71" s="62"/>
      <c r="CH71" s="143">
        <v>4</v>
      </c>
      <c r="CI71" s="13">
        <f t="shared" si="46"/>
        <v>14</v>
      </c>
      <c r="CJ71" s="62"/>
      <c r="CK71" s="143"/>
      <c r="CL71" s="13">
        <f t="shared" si="47"/>
        <v>14</v>
      </c>
      <c r="CM71" s="62"/>
      <c r="CN71" s="143">
        <v>3</v>
      </c>
      <c r="CO71" s="13">
        <f t="shared" si="41"/>
        <v>11</v>
      </c>
      <c r="CP71" s="62"/>
      <c r="CQ71" s="143"/>
      <c r="CR71" s="13">
        <f t="shared" si="48"/>
        <v>11</v>
      </c>
      <c r="CS71" s="62"/>
      <c r="CT71" s="143"/>
      <c r="CU71" s="14">
        <f t="shared" si="42"/>
        <v>11</v>
      </c>
      <c r="CV71" s="5">
        <f t="shared" si="43"/>
        <v>0</v>
      </c>
      <c r="CW71" s="4">
        <f t="shared" si="43"/>
        <v>16</v>
      </c>
      <c r="CX71" s="6">
        <f t="shared" si="44"/>
        <v>11</v>
      </c>
      <c r="CY71" s="162">
        <v>203</v>
      </c>
      <c r="CZ71" s="171">
        <f t="shared" si="45"/>
        <v>2233</v>
      </c>
      <c r="DB71" s="2">
        <f t="shared" si="49"/>
        <v>11</v>
      </c>
      <c r="DC71" s="62"/>
      <c r="DD71" s="143"/>
      <c r="DE71" s="149">
        <f t="shared" ref="DE71:DE93" si="50">DC71+DB71-DD71</f>
        <v>11</v>
      </c>
    </row>
    <row r="72" spans="1:109" ht="15.75" customHeight="1">
      <c r="A72" s="33"/>
      <c r="B72" s="3" t="s">
        <v>250</v>
      </c>
      <c r="C72" s="104" t="s">
        <v>21</v>
      </c>
      <c r="D72" s="34"/>
      <c r="E72" s="34"/>
      <c r="F72" s="198">
        <v>0</v>
      </c>
      <c r="G72" s="61"/>
      <c r="H72" s="199"/>
      <c r="I72" s="200">
        <f>F72+G72-H72</f>
        <v>0</v>
      </c>
      <c r="J72" s="61"/>
      <c r="K72" s="199"/>
      <c r="L72" s="200">
        <f>I72+J72-K72</f>
        <v>0</v>
      </c>
      <c r="M72" s="61"/>
      <c r="N72" s="199"/>
      <c r="O72" s="200">
        <f>L72+M72-N72</f>
        <v>0</v>
      </c>
      <c r="P72" s="61"/>
      <c r="Q72" s="199"/>
      <c r="R72" s="201">
        <f>O72+P72-Q72</f>
        <v>0</v>
      </c>
      <c r="S72" s="61"/>
      <c r="T72" s="199"/>
      <c r="U72" s="200">
        <f>R72+S72-T72</f>
        <v>0</v>
      </c>
      <c r="V72" s="61"/>
      <c r="W72" s="199"/>
      <c r="X72" s="200">
        <f>U72+V72-W72</f>
        <v>0</v>
      </c>
      <c r="Y72" s="61"/>
      <c r="Z72" s="199"/>
      <c r="AA72" s="200">
        <f>X72+Y72-Z72</f>
        <v>0</v>
      </c>
      <c r="AB72" s="61"/>
      <c r="AC72" s="199"/>
      <c r="AD72" s="200">
        <f>AA72+AB72-AC72</f>
        <v>0</v>
      </c>
      <c r="AE72" s="61"/>
      <c r="AF72" s="199"/>
      <c r="AG72" s="200">
        <f>AD72+AE72-AF72</f>
        <v>0</v>
      </c>
      <c r="AH72" s="61"/>
      <c r="AI72" s="199"/>
      <c r="AJ72" s="200">
        <f>AG72+AH72-AI72</f>
        <v>0</v>
      </c>
      <c r="AK72" s="61"/>
      <c r="AL72" s="199"/>
      <c r="AM72" s="200">
        <f>AJ72+AK72-AL72</f>
        <v>0</v>
      </c>
      <c r="AN72" s="61"/>
      <c r="AO72" s="199"/>
      <c r="AP72" s="200">
        <f>AM72+AN72-AO72</f>
        <v>0</v>
      </c>
      <c r="AQ72" s="61"/>
      <c r="AR72" s="199"/>
      <c r="AS72" s="200">
        <f>AP72+AQ72-AR72</f>
        <v>0</v>
      </c>
      <c r="AT72" s="61"/>
      <c r="AU72" s="199"/>
      <c r="AV72" s="200">
        <f>AS72+AT72-AU72</f>
        <v>0</v>
      </c>
      <c r="AW72" s="61"/>
      <c r="AX72" s="199"/>
      <c r="AY72" s="200">
        <f>AV72+AW72-AX72</f>
        <v>0</v>
      </c>
      <c r="AZ72" s="61"/>
      <c r="BA72" s="199"/>
      <c r="BB72" s="200">
        <f>AY72+AZ72-BA72</f>
        <v>0</v>
      </c>
      <c r="BC72" s="61"/>
      <c r="BD72" s="199"/>
      <c r="BE72" s="200">
        <f>BB72+BC72-BD72</f>
        <v>0</v>
      </c>
      <c r="BF72" s="61"/>
      <c r="BG72" s="199"/>
      <c r="BH72" s="200">
        <f>BE72+BF72-BG72</f>
        <v>0</v>
      </c>
      <c r="BI72" s="61"/>
      <c r="BJ72" s="199"/>
      <c r="BK72" s="200">
        <f>BH72+BI72-BJ72</f>
        <v>0</v>
      </c>
      <c r="BL72" s="61"/>
      <c r="BM72" s="199"/>
      <c r="BN72" s="200">
        <f>BK72+BL72-BM72</f>
        <v>0</v>
      </c>
      <c r="BO72" s="61"/>
      <c r="BP72" s="199"/>
      <c r="BQ72" s="200">
        <f>BN72+BO72-BP72</f>
        <v>0</v>
      </c>
      <c r="BR72" s="61"/>
      <c r="BS72" s="199"/>
      <c r="BT72" s="200">
        <f t="shared" si="37"/>
        <v>0</v>
      </c>
      <c r="BU72" s="61">
        <v>29</v>
      </c>
      <c r="BV72" s="143">
        <v>3</v>
      </c>
      <c r="BW72" s="13">
        <f>BT72+BU72-BV72</f>
        <v>26</v>
      </c>
      <c r="BX72" s="62"/>
      <c r="BY72" s="143"/>
      <c r="BZ72" s="13">
        <f t="shared" si="38"/>
        <v>26</v>
      </c>
      <c r="CA72" s="62"/>
      <c r="CB72" s="143"/>
      <c r="CC72" s="13">
        <f t="shared" si="39"/>
        <v>26</v>
      </c>
      <c r="CD72" s="62"/>
      <c r="CE72" s="143"/>
      <c r="CF72" s="13">
        <f t="shared" si="40"/>
        <v>26</v>
      </c>
      <c r="CG72" s="62"/>
      <c r="CH72" s="143">
        <v>8</v>
      </c>
      <c r="CI72" s="13">
        <f t="shared" si="46"/>
        <v>18</v>
      </c>
      <c r="CJ72" s="62"/>
      <c r="CK72" s="143"/>
      <c r="CL72" s="13">
        <f t="shared" si="47"/>
        <v>18</v>
      </c>
      <c r="CM72" s="62"/>
      <c r="CN72" s="143"/>
      <c r="CO72" s="13">
        <f t="shared" si="41"/>
        <v>18</v>
      </c>
      <c r="CP72" s="62"/>
      <c r="CQ72" s="143"/>
      <c r="CR72" s="13">
        <f t="shared" si="48"/>
        <v>18</v>
      </c>
      <c r="CS72" s="61"/>
      <c r="CT72" s="143"/>
      <c r="CU72" s="14">
        <f t="shared" si="42"/>
        <v>18</v>
      </c>
      <c r="CV72" s="46">
        <f t="shared" si="43"/>
        <v>29</v>
      </c>
      <c r="CW72" s="4">
        <f t="shared" si="43"/>
        <v>11</v>
      </c>
      <c r="CX72" s="45">
        <f t="shared" si="44"/>
        <v>18</v>
      </c>
      <c r="CY72" s="162">
        <v>0</v>
      </c>
      <c r="CZ72" s="171">
        <f t="shared" si="45"/>
        <v>0</v>
      </c>
      <c r="DB72" s="2">
        <f t="shared" si="49"/>
        <v>18</v>
      </c>
      <c r="DC72" s="62"/>
      <c r="DD72" s="143"/>
      <c r="DE72" s="149">
        <f t="shared" si="50"/>
        <v>18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/>
      <c r="K73" s="143"/>
      <c r="L73" s="13">
        <f t="shared" ref="L73:L77" si="52">I73+J73-K73</f>
        <v>0</v>
      </c>
      <c r="M73" s="62"/>
      <c r="N73" s="143"/>
      <c r="O73" s="13">
        <f t="shared" ref="O73:O77" si="53">L73+M73-N73</f>
        <v>0</v>
      </c>
      <c r="P73" s="62"/>
      <c r="Q73" s="143"/>
      <c r="R73" s="30">
        <f t="shared" ref="R73:R77" si="54">O73+P73-Q73</f>
        <v>0</v>
      </c>
      <c r="S73" s="62"/>
      <c r="T73" s="143"/>
      <c r="U73" s="13">
        <f t="shared" ref="U73:U76" si="55">R73+S73-T73</f>
        <v>0</v>
      </c>
      <c r="V73" s="62"/>
      <c r="W73" s="143"/>
      <c r="X73" s="13">
        <f t="shared" ref="X73:X77" si="56">U73+V73-W73</f>
        <v>0</v>
      </c>
      <c r="Y73" s="62"/>
      <c r="Z73" s="143"/>
      <c r="AA73" s="13">
        <f t="shared" ref="AA73:AA93" si="57">X73+Y73-Z73</f>
        <v>0</v>
      </c>
      <c r="AB73" s="62"/>
      <c r="AC73" s="143"/>
      <c r="AD73" s="13">
        <f t="shared" ref="AD73:AD77" si="58">AA73+AB73-AC73</f>
        <v>0</v>
      </c>
      <c r="AE73" s="62"/>
      <c r="AF73" s="143"/>
      <c r="AG73" s="13">
        <f t="shared" ref="AG73:AG77" si="59">AD73+AE73-AF73</f>
        <v>0</v>
      </c>
      <c r="AH73" s="62"/>
      <c r="AI73" s="143"/>
      <c r="AJ73" s="13">
        <f t="shared" ref="AJ73:AJ77" si="60">AG73+AH73-AI73</f>
        <v>0</v>
      </c>
      <c r="AK73" s="62"/>
      <c r="AL73" s="143"/>
      <c r="AM73" s="13">
        <f t="shared" ref="AM73:AM77" si="61">AJ73+AK73-AL73</f>
        <v>0</v>
      </c>
      <c r="AN73" s="62"/>
      <c r="AO73" s="143"/>
      <c r="AP73" s="13">
        <f t="shared" ref="AP73:AP77" si="62">AM73+AN73-AO73</f>
        <v>0</v>
      </c>
      <c r="AQ73" s="62"/>
      <c r="AR73" s="143"/>
      <c r="AS73" s="13">
        <f t="shared" ref="AS73:AS77" si="63">AP73+AQ73-AR73</f>
        <v>0</v>
      </c>
      <c r="AT73" s="62"/>
      <c r="AU73" s="143"/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2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62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62"/>
      <c r="CB73" s="143"/>
      <c r="CC73" s="13">
        <f t="shared" si="39"/>
        <v>0</v>
      </c>
      <c r="CD73" s="62"/>
      <c r="CE73" s="143"/>
      <c r="CF73" s="13">
        <f t="shared" si="40"/>
        <v>0</v>
      </c>
      <c r="CG73" s="62"/>
      <c r="CH73" s="143"/>
      <c r="CI73" s="13">
        <f t="shared" si="46"/>
        <v>0</v>
      </c>
      <c r="CJ73" s="62"/>
      <c r="CK73" s="143"/>
      <c r="CL73" s="13">
        <f t="shared" si="47"/>
        <v>0</v>
      </c>
      <c r="CM73" s="62"/>
      <c r="CN73" s="143"/>
      <c r="CO73" s="13">
        <f t="shared" si="41"/>
        <v>0</v>
      </c>
      <c r="CP73" s="62"/>
      <c r="CQ73" s="143"/>
      <c r="CR73" s="13">
        <f t="shared" si="48"/>
        <v>0</v>
      </c>
      <c r="CS73" s="62"/>
      <c r="CT73" s="143"/>
      <c r="CU73" s="14">
        <f t="shared" si="42"/>
        <v>0</v>
      </c>
      <c r="CV73" s="5">
        <f t="shared" si="43"/>
        <v>0</v>
      </c>
      <c r="CW73" s="4">
        <f t="shared" si="43"/>
        <v>0</v>
      </c>
      <c r="CX73" s="6">
        <f t="shared" si="44"/>
        <v>0</v>
      </c>
      <c r="CY73" s="162">
        <v>0</v>
      </c>
      <c r="CZ73" s="171">
        <f t="shared" si="45"/>
        <v>0</v>
      </c>
      <c r="DB73" s="2">
        <f t="shared" si="49"/>
        <v>0</v>
      </c>
      <c r="DC73" s="62"/>
      <c r="DD73" s="143"/>
      <c r="DE73" s="149">
        <f t="shared" si="50"/>
        <v>0</v>
      </c>
    </row>
    <row r="74" spans="1:109" ht="15.75" customHeight="1">
      <c r="A74" s="33"/>
      <c r="B74" s="3" t="s">
        <v>265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2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2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 t="shared" si="52"/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>
        <v>2</v>
      </c>
      <c r="CT75" s="143"/>
      <c r="CU75" s="14">
        <f t="shared" si="42"/>
        <v>2</v>
      </c>
      <c r="CV75" s="5">
        <f t="shared" si="43"/>
        <v>2</v>
      </c>
      <c r="CW75" s="4">
        <f t="shared" si="43"/>
        <v>0</v>
      </c>
      <c r="CX75" s="6">
        <f t="shared" si="44"/>
        <v>2</v>
      </c>
      <c r="CY75" s="162">
        <v>0</v>
      </c>
      <c r="CZ75" s="171">
        <f t="shared" si="45"/>
        <v>0</v>
      </c>
      <c r="DB75" s="2">
        <f t="shared" si="49"/>
        <v>2</v>
      </c>
      <c r="DC75" s="62"/>
      <c r="DD75" s="143"/>
      <c r="DE75" s="149">
        <f t="shared" si="50"/>
        <v>2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53</v>
      </c>
      <c r="G76" s="62">
        <f>100-48</f>
        <v>52</v>
      </c>
      <c r="H76" s="143">
        <f>6+46</f>
        <v>52</v>
      </c>
      <c r="I76" s="13">
        <f t="shared" si="51"/>
        <v>53</v>
      </c>
      <c r="J76" s="62">
        <f>-56+100+48</f>
        <v>92</v>
      </c>
      <c r="K76" s="143">
        <f>5+47</f>
        <v>52</v>
      </c>
      <c r="L76" s="13">
        <f t="shared" si="52"/>
        <v>93</v>
      </c>
      <c r="M76" s="62">
        <v>52</v>
      </c>
      <c r="N76" s="143">
        <f>10+82</f>
        <v>92</v>
      </c>
      <c r="O76" s="13">
        <f t="shared" si="53"/>
        <v>53</v>
      </c>
      <c r="P76" s="62">
        <v>56</v>
      </c>
      <c r="Q76" s="143"/>
      <c r="R76" s="30">
        <f t="shared" si="54"/>
        <v>109</v>
      </c>
      <c r="S76" s="62"/>
      <c r="T76" s="143">
        <f>8+48</f>
        <v>56</v>
      </c>
      <c r="U76" s="13">
        <f t="shared" si="55"/>
        <v>53</v>
      </c>
      <c r="V76" s="62"/>
      <c r="W76" s="143">
        <f>8+44</f>
        <v>52</v>
      </c>
      <c r="X76" s="13">
        <f t="shared" si="56"/>
        <v>1</v>
      </c>
      <c r="Y76" s="62">
        <v>20</v>
      </c>
      <c r="Z76" s="143"/>
      <c r="AA76" s="13">
        <f t="shared" si="57"/>
        <v>21</v>
      </c>
      <c r="AB76" s="62">
        <v>4</v>
      </c>
      <c r="AC76" s="143">
        <f>4+13</f>
        <v>17</v>
      </c>
      <c r="AD76" s="13">
        <f t="shared" si="58"/>
        <v>8</v>
      </c>
      <c r="AE76" s="62">
        <f>-8+12</f>
        <v>4</v>
      </c>
      <c r="AF76" s="143">
        <f>4+4</f>
        <v>8</v>
      </c>
      <c r="AG76" s="13">
        <f t="shared" si="59"/>
        <v>4</v>
      </c>
      <c r="AH76" s="62">
        <f>-16+28</f>
        <v>12</v>
      </c>
      <c r="AI76" s="143">
        <v>4</v>
      </c>
      <c r="AJ76" s="13">
        <f t="shared" si="60"/>
        <v>12</v>
      </c>
      <c r="AK76" s="62"/>
      <c r="AL76" s="143"/>
      <c r="AM76" s="13">
        <f t="shared" si="61"/>
        <v>12</v>
      </c>
      <c r="AN76" s="62">
        <f>-16+28</f>
        <v>12</v>
      </c>
      <c r="AO76" s="143">
        <f>5+7</f>
        <v>12</v>
      </c>
      <c r="AP76" s="13">
        <f t="shared" si="62"/>
        <v>12</v>
      </c>
      <c r="AQ76" s="62">
        <f>-17+24</f>
        <v>7</v>
      </c>
      <c r="AR76" s="143">
        <v>12</v>
      </c>
      <c r="AS76" s="13">
        <f t="shared" si="63"/>
        <v>7</v>
      </c>
      <c r="AT76" s="62"/>
      <c r="AU76" s="143"/>
      <c r="AV76" s="13">
        <f t="shared" si="64"/>
        <v>7</v>
      </c>
      <c r="AW76" s="62">
        <f>-13-1+20</f>
        <v>6</v>
      </c>
      <c r="AX76" s="143">
        <v>7</v>
      </c>
      <c r="AY76" s="13">
        <f t="shared" si="65"/>
        <v>6</v>
      </c>
      <c r="AZ76" s="62">
        <f>-14+28</f>
        <v>14</v>
      </c>
      <c r="BA76" s="143">
        <v>6</v>
      </c>
      <c r="BB76" s="13">
        <f t="shared" si="66"/>
        <v>14</v>
      </c>
      <c r="BC76" s="62">
        <f>-33+38+1</f>
        <v>6</v>
      </c>
      <c r="BD76" s="143">
        <f>5+9</f>
        <v>14</v>
      </c>
      <c r="BE76" s="13">
        <f t="shared" si="67"/>
        <v>6</v>
      </c>
      <c r="BF76" s="62"/>
      <c r="BG76" s="143"/>
      <c r="BH76" s="13">
        <f t="shared" si="68"/>
        <v>6</v>
      </c>
      <c r="BI76" s="62">
        <f>-18+28+1</f>
        <v>11</v>
      </c>
      <c r="BJ76" s="143">
        <f>2+4+1</f>
        <v>7</v>
      </c>
      <c r="BK76" s="13">
        <f t="shared" si="69"/>
        <v>10</v>
      </c>
      <c r="BL76" s="62">
        <f>-27+36-2</f>
        <v>7</v>
      </c>
      <c r="BM76" s="143">
        <v>10</v>
      </c>
      <c r="BN76" s="13">
        <f t="shared" si="70"/>
        <v>7</v>
      </c>
      <c r="BO76" s="62"/>
      <c r="BP76" s="143"/>
      <c r="BQ76" s="13">
        <f t="shared" si="71"/>
        <v>7</v>
      </c>
      <c r="BR76" s="62">
        <f>-27+1+36</f>
        <v>10</v>
      </c>
      <c r="BS76" s="143">
        <f>2+6</f>
        <v>8</v>
      </c>
      <c r="BT76" s="13">
        <f t="shared" si="37"/>
        <v>9</v>
      </c>
      <c r="BU76" s="62">
        <f>-23+34</f>
        <v>11</v>
      </c>
      <c r="BV76" s="143">
        <f>2+7</f>
        <v>9</v>
      </c>
      <c r="BW76" s="13">
        <f t="shared" si="72"/>
        <v>11</v>
      </c>
      <c r="BX76" s="62">
        <f>-34+44</f>
        <v>10</v>
      </c>
      <c r="BY76" s="143">
        <f>4+7</f>
        <v>11</v>
      </c>
      <c r="BZ76" s="13">
        <f t="shared" si="38"/>
        <v>10</v>
      </c>
      <c r="CA76" s="62"/>
      <c r="CB76" s="143"/>
      <c r="CC76" s="13">
        <f t="shared" si="39"/>
        <v>10</v>
      </c>
      <c r="CD76" s="62">
        <f>-17+32</f>
        <v>15</v>
      </c>
      <c r="CE76" s="143">
        <f>3+7</f>
        <v>10</v>
      </c>
      <c r="CF76" s="13">
        <f t="shared" si="40"/>
        <v>15</v>
      </c>
      <c r="CG76" s="62">
        <f>-20+28</f>
        <v>8</v>
      </c>
      <c r="CH76" s="143">
        <f>4+11</f>
        <v>15</v>
      </c>
      <c r="CI76" s="13">
        <f t="shared" si="46"/>
        <v>8</v>
      </c>
      <c r="CJ76" s="62"/>
      <c r="CK76" s="143"/>
      <c r="CL76" s="13">
        <f t="shared" si="47"/>
        <v>8</v>
      </c>
      <c r="CM76" s="62">
        <f>-18+28</f>
        <v>10</v>
      </c>
      <c r="CN76" s="143">
        <f>2+6</f>
        <v>8</v>
      </c>
      <c r="CO76" s="13">
        <f t="shared" si="41"/>
        <v>10</v>
      </c>
      <c r="CP76" s="62">
        <f>-26+40</f>
        <v>14</v>
      </c>
      <c r="CQ76" s="143">
        <f>3+6+1</f>
        <v>10</v>
      </c>
      <c r="CR76" s="13">
        <f t="shared" si="48"/>
        <v>14</v>
      </c>
      <c r="CS76" s="62">
        <f>-28+28</f>
        <v>0</v>
      </c>
      <c r="CT76" s="143">
        <f>4+10</f>
        <v>14</v>
      </c>
      <c r="CU76" s="14">
        <f t="shared" si="42"/>
        <v>0</v>
      </c>
      <c r="CV76" s="5">
        <f t="shared" si="43"/>
        <v>433</v>
      </c>
      <c r="CW76" s="4">
        <f t="shared" si="43"/>
        <v>486</v>
      </c>
      <c r="CX76" s="6">
        <f t="shared" si="44"/>
        <v>0</v>
      </c>
      <c r="CY76" s="162">
        <v>650</v>
      </c>
      <c r="CZ76" s="171">
        <f t="shared" si="45"/>
        <v>0</v>
      </c>
      <c r="DB76" s="2">
        <f t="shared" si="49"/>
        <v>0</v>
      </c>
      <c r="DC76" s="62"/>
      <c r="DD76" s="143"/>
      <c r="DE76" s="149">
        <f t="shared" si="50"/>
        <v>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0</v>
      </c>
      <c r="G77" s="62">
        <f>7+48</f>
        <v>55</v>
      </c>
      <c r="H77" s="143">
        <f>9</f>
        <v>9</v>
      </c>
      <c r="I77" s="13">
        <f>F77+G77-H77</f>
        <v>46</v>
      </c>
      <c r="J77" s="62"/>
      <c r="K77" s="143">
        <f>1+1</f>
        <v>2</v>
      </c>
      <c r="L77" s="13">
        <f t="shared" si="52"/>
        <v>44</v>
      </c>
      <c r="M77" s="62"/>
      <c r="N77" s="143"/>
      <c r="O77" s="13">
        <f t="shared" si="53"/>
        <v>44</v>
      </c>
      <c r="P77" s="62"/>
      <c r="Q77" s="143"/>
      <c r="R77" s="30">
        <f t="shared" si="54"/>
        <v>44</v>
      </c>
      <c r="S77" s="62"/>
      <c r="T77" s="143"/>
      <c r="U77" s="13">
        <f>R77+S77-T77</f>
        <v>44</v>
      </c>
      <c r="V77" s="62"/>
      <c r="W77" s="143">
        <f>2+6+19+3+6</f>
        <v>36</v>
      </c>
      <c r="X77" s="13">
        <f t="shared" si="56"/>
        <v>8</v>
      </c>
      <c r="Y77" s="62"/>
      <c r="Z77" s="143">
        <f>9</f>
        <v>9</v>
      </c>
      <c r="AA77" s="13">
        <f t="shared" si="57"/>
        <v>-1</v>
      </c>
      <c r="AB77" s="62">
        <v>36</v>
      </c>
      <c r="AC77" s="143">
        <f>9+1+1</f>
        <v>11</v>
      </c>
      <c r="AD77" s="13">
        <f t="shared" si="58"/>
        <v>24</v>
      </c>
      <c r="AE77" s="62"/>
      <c r="AF77" s="143">
        <v>6</v>
      </c>
      <c r="AG77" s="13">
        <f t="shared" si="59"/>
        <v>18</v>
      </c>
      <c r="AH77" s="62"/>
      <c r="AI77" s="143">
        <f>9+6+16</f>
        <v>31</v>
      </c>
      <c r="AJ77" s="13">
        <f t="shared" si="60"/>
        <v>-13</v>
      </c>
      <c r="AK77" s="62"/>
      <c r="AL77" s="143"/>
      <c r="AM77" s="13">
        <f t="shared" si="61"/>
        <v>-13</v>
      </c>
      <c r="AN77" s="62">
        <v>36</v>
      </c>
      <c r="AO77" s="143">
        <f>9+6</f>
        <v>15</v>
      </c>
      <c r="AP77" s="13">
        <f t="shared" si="62"/>
        <v>8</v>
      </c>
      <c r="AQ77" s="62"/>
      <c r="AR77" s="143">
        <f>9+7+15+9</f>
        <v>40</v>
      </c>
      <c r="AS77" s="13">
        <f t="shared" si="63"/>
        <v>-32</v>
      </c>
      <c r="AT77" s="62">
        <v>36</v>
      </c>
      <c r="AU77" s="143"/>
      <c r="AV77" s="13">
        <f t="shared" si="64"/>
        <v>4</v>
      </c>
      <c r="AW77" s="62"/>
      <c r="AX77" s="143">
        <f>1+1</f>
        <v>2</v>
      </c>
      <c r="AY77" s="13">
        <f t="shared" si="65"/>
        <v>2</v>
      </c>
      <c r="AZ77" s="62">
        <v>36</v>
      </c>
      <c r="BA77" s="143">
        <f>6</f>
        <v>6</v>
      </c>
      <c r="BB77" s="13">
        <f t="shared" si="66"/>
        <v>32</v>
      </c>
      <c r="BC77" s="62"/>
      <c r="BD77" s="143">
        <f>9+6+13</f>
        <v>28</v>
      </c>
      <c r="BE77" s="13">
        <f t="shared" si="67"/>
        <v>4</v>
      </c>
      <c r="BF77" s="62"/>
      <c r="BG77" s="143"/>
      <c r="BH77" s="13">
        <f t="shared" si="68"/>
        <v>4</v>
      </c>
      <c r="BI77" s="62"/>
      <c r="BJ77" s="143"/>
      <c r="BK77" s="13">
        <f t="shared" si="69"/>
        <v>4</v>
      </c>
      <c r="BL77" s="62">
        <v>36</v>
      </c>
      <c r="BM77" s="143">
        <f>11+6+7</f>
        <v>24</v>
      </c>
      <c r="BN77" s="13">
        <f t="shared" si="70"/>
        <v>16</v>
      </c>
      <c r="BO77" s="62">
        <v>36</v>
      </c>
      <c r="BP77" s="143">
        <f>9+6+5</f>
        <v>20</v>
      </c>
      <c r="BQ77" s="13">
        <f t="shared" si="71"/>
        <v>32</v>
      </c>
      <c r="BR77" s="62"/>
      <c r="BS77" s="143">
        <f>9+1</f>
        <v>10</v>
      </c>
      <c r="BT77" s="13">
        <f t="shared" si="37"/>
        <v>22</v>
      </c>
      <c r="BU77" s="62"/>
      <c r="BV77" s="143">
        <f>9+1+1</f>
        <v>11</v>
      </c>
      <c r="BW77" s="13">
        <f t="shared" si="72"/>
        <v>11</v>
      </c>
      <c r="BX77" s="62"/>
      <c r="BY77" s="143">
        <f>6</f>
        <v>6</v>
      </c>
      <c r="BZ77" s="13">
        <f t="shared" si="38"/>
        <v>5</v>
      </c>
      <c r="CA77" s="62"/>
      <c r="CB77" s="143"/>
      <c r="CC77" s="13">
        <f t="shared" si="39"/>
        <v>5</v>
      </c>
      <c r="CD77" s="62">
        <v>36</v>
      </c>
      <c r="CE77" s="143">
        <f>9+17</f>
        <v>26</v>
      </c>
      <c r="CF77" s="13">
        <f t="shared" si="40"/>
        <v>15</v>
      </c>
      <c r="CG77" s="62"/>
      <c r="CH77" s="143">
        <f>6+9+6+15</f>
        <v>36</v>
      </c>
      <c r="CI77" s="13">
        <f t="shared" si="46"/>
        <v>-21</v>
      </c>
      <c r="CJ77" s="62">
        <v>36</v>
      </c>
      <c r="CK77" s="143"/>
      <c r="CL77" s="13">
        <f t="shared" si="47"/>
        <v>15</v>
      </c>
      <c r="CM77" s="62"/>
      <c r="CN77" s="143">
        <f>9+1</f>
        <v>10</v>
      </c>
      <c r="CO77" s="13">
        <f t="shared" si="41"/>
        <v>5</v>
      </c>
      <c r="CP77" s="62">
        <v>36</v>
      </c>
      <c r="CQ77" s="143">
        <f>9+1</f>
        <v>10</v>
      </c>
      <c r="CR77" s="13">
        <f t="shared" si="48"/>
        <v>31</v>
      </c>
      <c r="CS77" s="62"/>
      <c r="CT77" s="143">
        <f>1+6</f>
        <v>7</v>
      </c>
      <c r="CU77" s="14">
        <f t="shared" si="42"/>
        <v>24</v>
      </c>
      <c r="CV77" s="5">
        <f t="shared" si="43"/>
        <v>379</v>
      </c>
      <c r="CW77" s="4">
        <f t="shared" si="43"/>
        <v>355</v>
      </c>
      <c r="CX77" s="6">
        <f t="shared" si="44"/>
        <v>24</v>
      </c>
      <c r="CY77" s="162">
        <v>195</v>
      </c>
      <c r="CZ77" s="171">
        <f t="shared" si="45"/>
        <v>4680</v>
      </c>
      <c r="DB77" s="2">
        <f t="shared" si="49"/>
        <v>24</v>
      </c>
      <c r="DC77" s="62"/>
      <c r="DD77" s="143"/>
      <c r="DE77" s="149">
        <f t="shared" si="50"/>
        <v>24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2850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-2</v>
      </c>
      <c r="G80" s="62">
        <v>12</v>
      </c>
      <c r="H80" s="143"/>
      <c r="I80" s="13">
        <f t="shared" si="73"/>
        <v>10</v>
      </c>
      <c r="J80" s="62"/>
      <c r="K80" s="143"/>
      <c r="L80" s="13">
        <f t="shared" si="74"/>
        <v>10</v>
      </c>
      <c r="M80" s="62"/>
      <c r="N80" s="143"/>
      <c r="O80" s="13">
        <f t="shared" si="75"/>
        <v>10</v>
      </c>
      <c r="P80" s="62"/>
      <c r="Q80" s="143"/>
      <c r="R80" s="30">
        <f t="shared" si="76"/>
        <v>10</v>
      </c>
      <c r="S80" s="62"/>
      <c r="T80" s="143"/>
      <c r="U80" s="13">
        <f t="shared" si="77"/>
        <v>10</v>
      </c>
      <c r="V80" s="62"/>
      <c r="W80" s="143"/>
      <c r="X80" s="30">
        <f t="shared" si="78"/>
        <v>10</v>
      </c>
      <c r="Y80" s="62"/>
      <c r="Z80" s="143">
        <v>4</v>
      </c>
      <c r="AA80" s="13">
        <f t="shared" si="79"/>
        <v>6</v>
      </c>
      <c r="AB80" s="62"/>
      <c r="AC80" s="143">
        <f>3+3</f>
        <v>6</v>
      </c>
      <c r="AD80" s="13">
        <f t="shared" si="80"/>
        <v>0</v>
      </c>
      <c r="AE80" s="62"/>
      <c r="AF80" s="143"/>
      <c r="AG80" s="13">
        <f t="shared" si="81"/>
        <v>0</v>
      </c>
      <c r="AH80" s="62"/>
      <c r="AI80" s="143"/>
      <c r="AJ80" s="13">
        <f t="shared" si="82"/>
        <v>0</v>
      </c>
      <c r="AK80" s="62"/>
      <c r="AL80" s="143"/>
      <c r="AM80" s="13">
        <f t="shared" si="83"/>
        <v>0</v>
      </c>
      <c r="AN80" s="62"/>
      <c r="AO80" s="143"/>
      <c r="AP80" s="13">
        <f t="shared" si="84"/>
        <v>0</v>
      </c>
      <c r="AQ80" s="62">
        <f>6+12</f>
        <v>18</v>
      </c>
      <c r="AR80" s="143">
        <f>4</f>
        <v>4</v>
      </c>
      <c r="AS80" s="13">
        <f t="shared" si="85"/>
        <v>14</v>
      </c>
      <c r="AT80" s="62"/>
      <c r="AU80" s="143"/>
      <c r="AV80" s="13">
        <f t="shared" si="86"/>
        <v>14</v>
      </c>
      <c r="AW80" s="62"/>
      <c r="AX80" s="143">
        <f>3+4+3</f>
        <v>10</v>
      </c>
      <c r="AY80" s="13">
        <f t="shared" si="87"/>
        <v>4</v>
      </c>
      <c r="AZ80" s="62"/>
      <c r="BA80" s="143"/>
      <c r="BB80" s="13">
        <f t="shared" si="88"/>
        <v>4</v>
      </c>
      <c r="BC80" s="62"/>
      <c r="BD80" s="143"/>
      <c r="BE80" s="13">
        <f t="shared" si="89"/>
        <v>4</v>
      </c>
      <c r="BF80" s="62"/>
      <c r="BG80" s="143"/>
      <c r="BH80" s="13">
        <f t="shared" si="90"/>
        <v>4</v>
      </c>
      <c r="BI80" s="62"/>
      <c r="BJ80" s="143"/>
      <c r="BK80" s="13">
        <f t="shared" si="91"/>
        <v>4</v>
      </c>
      <c r="BL80" s="62">
        <v>12</v>
      </c>
      <c r="BM80" s="143"/>
      <c r="BN80" s="13">
        <f t="shared" si="92"/>
        <v>16</v>
      </c>
      <c r="BO80" s="62"/>
      <c r="BP80" s="143"/>
      <c r="BQ80" s="13">
        <f t="shared" si="93"/>
        <v>16</v>
      </c>
      <c r="BR80" s="62"/>
      <c r="BS80" s="143">
        <f>4+3</f>
        <v>7</v>
      </c>
      <c r="BT80" s="13">
        <f t="shared" si="37"/>
        <v>9</v>
      </c>
      <c r="BU80" s="62"/>
      <c r="BV80" s="143">
        <f>3+3</f>
        <v>6</v>
      </c>
      <c r="BW80" s="13">
        <f t="shared" si="94"/>
        <v>3</v>
      </c>
      <c r="BX80" s="62"/>
      <c r="BY80" s="143">
        <v>2</v>
      </c>
      <c r="BZ80" s="13">
        <f t="shared" si="38"/>
        <v>1</v>
      </c>
      <c r="CA80" s="62"/>
      <c r="CB80" s="143"/>
      <c r="CC80" s="13">
        <f t="shared" si="39"/>
        <v>1</v>
      </c>
      <c r="CD80" s="62"/>
      <c r="CE80" s="143"/>
      <c r="CF80" s="13">
        <f t="shared" si="40"/>
        <v>1</v>
      </c>
      <c r="CG80" s="62">
        <v>18</v>
      </c>
      <c r="CH80" s="143"/>
      <c r="CI80" s="13">
        <f t="shared" si="46"/>
        <v>19</v>
      </c>
      <c r="CJ80" s="62"/>
      <c r="CK80" s="143"/>
      <c r="CL80" s="13">
        <f t="shared" si="47"/>
        <v>19</v>
      </c>
      <c r="CM80" s="62"/>
      <c r="CN80" s="143">
        <f>4+3</f>
        <v>7</v>
      </c>
      <c r="CO80" s="13">
        <f t="shared" si="41"/>
        <v>12</v>
      </c>
      <c r="CP80" s="62"/>
      <c r="CQ80" s="143">
        <f>4+3</f>
        <v>7</v>
      </c>
      <c r="CR80" s="13">
        <f t="shared" si="48"/>
        <v>5</v>
      </c>
      <c r="CS80" s="62"/>
      <c r="CT80" s="143"/>
      <c r="CU80" s="14">
        <f t="shared" si="42"/>
        <v>5</v>
      </c>
      <c r="CV80" s="5">
        <f t="shared" si="43"/>
        <v>60</v>
      </c>
      <c r="CW80" s="4">
        <f t="shared" si="43"/>
        <v>53</v>
      </c>
      <c r="CX80" s="6">
        <f t="shared" si="95"/>
        <v>5</v>
      </c>
      <c r="CY80" s="162">
        <v>2850</v>
      </c>
      <c r="CZ80" s="171">
        <f t="shared" si="45"/>
        <v>14250</v>
      </c>
      <c r="DB80" s="2">
        <f t="shared" si="49"/>
        <v>5</v>
      </c>
      <c r="DC80" s="62"/>
      <c r="DD80" s="143"/>
      <c r="DE80" s="149">
        <f t="shared" si="50"/>
        <v>5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41</v>
      </c>
      <c r="G81" s="62"/>
      <c r="H81" s="143">
        <v>4</v>
      </c>
      <c r="I81" s="13">
        <f t="shared" si="73"/>
        <v>37</v>
      </c>
      <c r="J81" s="62"/>
      <c r="K81" s="143">
        <v>9</v>
      </c>
      <c r="L81" s="13">
        <f t="shared" si="74"/>
        <v>28</v>
      </c>
      <c r="M81" s="62"/>
      <c r="N81" s="143">
        <v>7</v>
      </c>
      <c r="O81" s="13">
        <f t="shared" si="75"/>
        <v>21</v>
      </c>
      <c r="P81" s="62"/>
      <c r="Q81" s="143"/>
      <c r="R81" s="13">
        <f t="shared" si="76"/>
        <v>21</v>
      </c>
      <c r="S81" s="62"/>
      <c r="T81" s="143">
        <v>4</v>
      </c>
      <c r="U81" s="13">
        <f t="shared" si="77"/>
        <v>17</v>
      </c>
      <c r="V81" s="62"/>
      <c r="W81" s="143">
        <v>8</v>
      </c>
      <c r="X81" s="13">
        <f t="shared" si="78"/>
        <v>9</v>
      </c>
      <c r="Y81" s="62"/>
      <c r="Z81" s="143"/>
      <c r="AA81" s="13">
        <f t="shared" si="79"/>
        <v>9</v>
      </c>
      <c r="AB81" s="62">
        <v>28</v>
      </c>
      <c r="AC81" s="143">
        <v>1</v>
      </c>
      <c r="AD81" s="13">
        <f t="shared" si="80"/>
        <v>36</v>
      </c>
      <c r="AE81" s="62"/>
      <c r="AF81" s="143">
        <v>2</v>
      </c>
      <c r="AG81" s="13">
        <f t="shared" si="81"/>
        <v>34</v>
      </c>
      <c r="AH81" s="62"/>
      <c r="AI81" s="143">
        <f>3+2+1</f>
        <v>6</v>
      </c>
      <c r="AJ81" s="13">
        <f t="shared" si="82"/>
        <v>28</v>
      </c>
      <c r="AK81" s="62"/>
      <c r="AL81" s="143"/>
      <c r="AM81" s="13">
        <f t="shared" si="83"/>
        <v>28</v>
      </c>
      <c r="AN81" s="62"/>
      <c r="AO81" s="143">
        <v>1</v>
      </c>
      <c r="AP81" s="13">
        <f t="shared" si="84"/>
        <v>27</v>
      </c>
      <c r="AQ81" s="62"/>
      <c r="AR81" s="143">
        <v>5</v>
      </c>
      <c r="AS81" s="13">
        <f t="shared" si="85"/>
        <v>22</v>
      </c>
      <c r="AT81" s="62"/>
      <c r="AU81" s="143"/>
      <c r="AV81" s="13">
        <f t="shared" si="86"/>
        <v>22</v>
      </c>
      <c r="AW81" s="62">
        <v>28</v>
      </c>
      <c r="AX81" s="143">
        <v>4</v>
      </c>
      <c r="AY81" s="13">
        <f t="shared" si="87"/>
        <v>46</v>
      </c>
      <c r="AZ81" s="62"/>
      <c r="BA81" s="143"/>
      <c r="BB81" s="13">
        <f t="shared" si="88"/>
        <v>46</v>
      </c>
      <c r="BC81" s="62"/>
      <c r="BD81" s="143">
        <v>4</v>
      </c>
      <c r="BE81" s="13">
        <f t="shared" si="89"/>
        <v>42</v>
      </c>
      <c r="BF81" s="62"/>
      <c r="BG81" s="143"/>
      <c r="BH81" s="13">
        <f t="shared" si="90"/>
        <v>42</v>
      </c>
      <c r="BI81" s="62"/>
      <c r="BJ81" s="143">
        <v>6</v>
      </c>
      <c r="BK81" s="13">
        <f t="shared" si="91"/>
        <v>36</v>
      </c>
      <c r="BL81" s="62"/>
      <c r="BM81" s="143">
        <v>7</v>
      </c>
      <c r="BN81" s="13">
        <f t="shared" si="92"/>
        <v>29</v>
      </c>
      <c r="BO81" s="62"/>
      <c r="BP81" s="143"/>
      <c r="BQ81" s="13">
        <f t="shared" si="93"/>
        <v>29</v>
      </c>
      <c r="BR81" s="62">
        <v>28</v>
      </c>
      <c r="BS81" s="143">
        <v>5</v>
      </c>
      <c r="BT81" s="13">
        <f t="shared" si="37"/>
        <v>52</v>
      </c>
      <c r="BU81" s="62"/>
      <c r="BV81" s="143">
        <v>5</v>
      </c>
      <c r="BW81" s="13">
        <f t="shared" si="94"/>
        <v>47</v>
      </c>
      <c r="BX81" s="62"/>
      <c r="BY81" s="143">
        <v>2</v>
      </c>
      <c r="BZ81" s="13">
        <f t="shared" si="38"/>
        <v>45</v>
      </c>
      <c r="CA81" s="62"/>
      <c r="CB81" s="143"/>
      <c r="CC81" s="13">
        <f t="shared" si="39"/>
        <v>45</v>
      </c>
      <c r="CD81" s="62"/>
      <c r="CE81" s="143">
        <v>4</v>
      </c>
      <c r="CF81" s="13">
        <f t="shared" si="40"/>
        <v>41</v>
      </c>
      <c r="CG81" s="62"/>
      <c r="CH81" s="143">
        <v>5</v>
      </c>
      <c r="CI81" s="13">
        <f t="shared" si="46"/>
        <v>36</v>
      </c>
      <c r="CJ81" s="62"/>
      <c r="CK81" s="143"/>
      <c r="CL81" s="13">
        <f t="shared" si="47"/>
        <v>36</v>
      </c>
      <c r="CM81" s="62">
        <v>28</v>
      </c>
      <c r="CN81" s="143">
        <v>3</v>
      </c>
      <c r="CO81" s="13">
        <f t="shared" si="41"/>
        <v>61</v>
      </c>
      <c r="CP81" s="62"/>
      <c r="CQ81" s="143">
        <v>4</v>
      </c>
      <c r="CR81" s="13">
        <f t="shared" si="48"/>
        <v>57</v>
      </c>
      <c r="CS81" s="62"/>
      <c r="CT81" s="143">
        <v>6</v>
      </c>
      <c r="CU81" s="14">
        <f t="shared" si="42"/>
        <v>51</v>
      </c>
      <c r="CV81" s="5">
        <f t="shared" si="43"/>
        <v>112</v>
      </c>
      <c r="CW81" s="4">
        <f t="shared" si="43"/>
        <v>102</v>
      </c>
      <c r="CX81" s="6">
        <f t="shared" si="95"/>
        <v>51</v>
      </c>
      <c r="CY81" s="162"/>
      <c r="CZ81" s="171">
        <f t="shared" si="45"/>
        <v>0</v>
      </c>
      <c r="DB81" s="2">
        <f t="shared" si="49"/>
        <v>51</v>
      </c>
      <c r="DC81" s="62"/>
      <c r="DD81" s="143"/>
      <c r="DE81" s="149">
        <f t="shared" si="50"/>
        <v>51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14</v>
      </c>
      <c r="G82" s="62">
        <v>6</v>
      </c>
      <c r="H82" s="143">
        <f>1+6</f>
        <v>7</v>
      </c>
      <c r="I82" s="13">
        <f t="shared" si="73"/>
        <v>13</v>
      </c>
      <c r="J82" s="62"/>
      <c r="K82" s="143">
        <v>1</v>
      </c>
      <c r="L82" s="13">
        <f t="shared" si="74"/>
        <v>12</v>
      </c>
      <c r="M82" s="62"/>
      <c r="N82" s="143">
        <v>1</v>
      </c>
      <c r="O82" s="13">
        <f t="shared" si="75"/>
        <v>11</v>
      </c>
      <c r="P82" s="62"/>
      <c r="Q82" s="143"/>
      <c r="R82" s="30">
        <f t="shared" si="76"/>
        <v>11</v>
      </c>
      <c r="S82" s="62"/>
      <c r="T82" s="143">
        <f>2</f>
        <v>2</v>
      </c>
      <c r="U82" s="13">
        <f t="shared" si="77"/>
        <v>9</v>
      </c>
      <c r="V82" s="62"/>
      <c r="W82" s="143">
        <v>2</v>
      </c>
      <c r="X82" s="13">
        <f t="shared" si="78"/>
        <v>7</v>
      </c>
      <c r="Y82" s="62"/>
      <c r="Z82" s="143"/>
      <c r="AA82" s="13">
        <f t="shared" si="79"/>
        <v>7</v>
      </c>
      <c r="AB82" s="62"/>
      <c r="AC82" s="143">
        <v>1</v>
      </c>
      <c r="AD82" s="13">
        <f t="shared" si="80"/>
        <v>6</v>
      </c>
      <c r="AE82" s="62"/>
      <c r="AF82" s="143">
        <f>2</f>
        <v>2</v>
      </c>
      <c r="AG82" s="13">
        <f t="shared" si="81"/>
        <v>4</v>
      </c>
      <c r="AH82" s="62"/>
      <c r="AI82" s="143">
        <f>2</f>
        <v>2</v>
      </c>
      <c r="AJ82" s="13">
        <f t="shared" si="82"/>
        <v>2</v>
      </c>
      <c r="AK82" s="62"/>
      <c r="AL82" s="143"/>
      <c r="AM82" s="13">
        <f t="shared" si="83"/>
        <v>2</v>
      </c>
      <c r="AN82" s="62">
        <v>6</v>
      </c>
      <c r="AO82" s="143">
        <v>2</v>
      </c>
      <c r="AP82" s="13">
        <f t="shared" si="84"/>
        <v>6</v>
      </c>
      <c r="AQ82" s="62"/>
      <c r="AR82" s="143">
        <v>2</v>
      </c>
      <c r="AS82" s="13">
        <f t="shared" si="85"/>
        <v>4</v>
      </c>
      <c r="AT82" s="62"/>
      <c r="AU82" s="143"/>
      <c r="AV82" s="13">
        <f t="shared" si="86"/>
        <v>4</v>
      </c>
      <c r="AW82" s="62">
        <v>6</v>
      </c>
      <c r="AX82" s="143">
        <v>2</v>
      </c>
      <c r="AY82" s="13">
        <f t="shared" si="87"/>
        <v>8</v>
      </c>
      <c r="AZ82" s="62"/>
      <c r="BA82" s="143">
        <v>1</v>
      </c>
      <c r="BB82" s="13">
        <f t="shared" si="88"/>
        <v>7</v>
      </c>
      <c r="BC82" s="62"/>
      <c r="BD82" s="143">
        <v>1</v>
      </c>
      <c r="BE82" s="13">
        <f t="shared" si="89"/>
        <v>6</v>
      </c>
      <c r="BF82" s="62"/>
      <c r="BG82" s="143"/>
      <c r="BH82" s="13">
        <f t="shared" si="90"/>
        <v>6</v>
      </c>
      <c r="BI82" s="62">
        <v>6</v>
      </c>
      <c r="BJ82" s="143">
        <v>1</v>
      </c>
      <c r="BK82" s="13">
        <f t="shared" si="91"/>
        <v>11</v>
      </c>
      <c r="BL82" s="62"/>
      <c r="BM82" s="143">
        <v>2</v>
      </c>
      <c r="BN82" s="13">
        <f t="shared" si="92"/>
        <v>9</v>
      </c>
      <c r="BO82" s="62"/>
      <c r="BP82" s="143"/>
      <c r="BQ82" s="13">
        <f t="shared" si="93"/>
        <v>9</v>
      </c>
      <c r="BR82" s="62"/>
      <c r="BS82" s="143">
        <v>1</v>
      </c>
      <c r="BT82" s="13">
        <f t="shared" si="37"/>
        <v>8</v>
      </c>
      <c r="BU82" s="62"/>
      <c r="BV82" s="143">
        <f>1</f>
        <v>1</v>
      </c>
      <c r="BW82" s="13">
        <f t="shared" si="94"/>
        <v>7</v>
      </c>
      <c r="BX82" s="62"/>
      <c r="BY82" s="143"/>
      <c r="BZ82" s="13">
        <f t="shared" si="38"/>
        <v>7</v>
      </c>
      <c r="CA82" s="62"/>
      <c r="CB82" s="143"/>
      <c r="CC82" s="13">
        <f t="shared" si="39"/>
        <v>7</v>
      </c>
      <c r="CD82" s="62">
        <v>6</v>
      </c>
      <c r="CE82" s="143">
        <v>3</v>
      </c>
      <c r="CF82" s="13">
        <f t="shared" si="40"/>
        <v>10</v>
      </c>
      <c r="CG82" s="62"/>
      <c r="CH82" s="143">
        <f>1+3</f>
        <v>4</v>
      </c>
      <c r="CI82" s="13">
        <f t="shared" si="46"/>
        <v>6</v>
      </c>
      <c r="CJ82" s="62"/>
      <c r="CK82" s="143"/>
      <c r="CL82" s="13">
        <f t="shared" si="47"/>
        <v>6</v>
      </c>
      <c r="CM82" s="62"/>
      <c r="CN82" s="143">
        <v>1</v>
      </c>
      <c r="CO82" s="13">
        <f t="shared" si="41"/>
        <v>5</v>
      </c>
      <c r="CP82" s="62"/>
      <c r="CQ82" s="143">
        <v>1</v>
      </c>
      <c r="CR82" s="13">
        <f t="shared" si="48"/>
        <v>4</v>
      </c>
      <c r="CS82" s="62"/>
      <c r="CT82" s="143">
        <v>1</v>
      </c>
      <c r="CU82" s="14">
        <f t="shared" si="42"/>
        <v>3</v>
      </c>
      <c r="CV82" s="129">
        <f t="shared" si="43"/>
        <v>30</v>
      </c>
      <c r="CW82" s="130">
        <f t="shared" si="43"/>
        <v>41</v>
      </c>
      <c r="CX82" s="131">
        <f t="shared" si="95"/>
        <v>3</v>
      </c>
      <c r="CY82" s="163">
        <v>0</v>
      </c>
      <c r="CZ82" s="172">
        <f t="shared" si="45"/>
        <v>0</v>
      </c>
      <c r="DB82" s="2">
        <f t="shared" si="49"/>
        <v>3</v>
      </c>
      <c r="DC82" s="62"/>
      <c r="DD82" s="143"/>
      <c r="DE82" s="149">
        <f t="shared" si="50"/>
        <v>3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109</v>
      </c>
      <c r="G83" s="62">
        <v>48</v>
      </c>
      <c r="H83" s="143">
        <f>3+34</f>
        <v>37</v>
      </c>
      <c r="I83" s="13">
        <f t="shared" si="73"/>
        <v>120</v>
      </c>
      <c r="J83" s="62"/>
      <c r="K83" s="143">
        <f>2+13</f>
        <v>15</v>
      </c>
      <c r="L83" s="13">
        <f t="shared" si="74"/>
        <v>105</v>
      </c>
      <c r="M83" s="62"/>
      <c r="N83" s="143">
        <f>6+44+8</f>
        <v>58</v>
      </c>
      <c r="O83" s="13">
        <f t="shared" si="75"/>
        <v>47</v>
      </c>
      <c r="P83" s="62"/>
      <c r="Q83" s="143"/>
      <c r="R83" s="30">
        <f t="shared" si="76"/>
        <v>47</v>
      </c>
      <c r="S83" s="62">
        <v>24</v>
      </c>
      <c r="T83" s="143">
        <f>4+22</f>
        <v>26</v>
      </c>
      <c r="U83" s="13">
        <f t="shared" si="77"/>
        <v>45</v>
      </c>
      <c r="V83" s="62"/>
      <c r="W83" s="143">
        <f>4+27</f>
        <v>31</v>
      </c>
      <c r="X83" s="13">
        <f>U83+V83-W83</f>
        <v>14</v>
      </c>
      <c r="Y83" s="62"/>
      <c r="Z83" s="143"/>
      <c r="AA83" s="13">
        <f t="shared" si="79"/>
        <v>14</v>
      </c>
      <c r="AB83" s="62"/>
      <c r="AC83" s="143">
        <f>2+9</f>
        <v>11</v>
      </c>
      <c r="AD83" s="13">
        <f t="shared" si="80"/>
        <v>3</v>
      </c>
      <c r="AE83" s="62">
        <f>-8+96</f>
        <v>88</v>
      </c>
      <c r="AF83" s="143">
        <v>3</v>
      </c>
      <c r="AG83" s="13">
        <f t="shared" si="81"/>
        <v>88</v>
      </c>
      <c r="AH83" s="62">
        <v>24</v>
      </c>
      <c r="AI83" s="143">
        <v>24</v>
      </c>
      <c r="AJ83" s="13">
        <f t="shared" si="82"/>
        <v>88</v>
      </c>
      <c r="AK83" s="62"/>
      <c r="AL83" s="143"/>
      <c r="AM83" s="13">
        <f t="shared" si="83"/>
        <v>88</v>
      </c>
      <c r="AN83" s="62"/>
      <c r="AO83" s="143">
        <v>23</v>
      </c>
      <c r="AP83" s="13">
        <f t="shared" si="84"/>
        <v>65</v>
      </c>
      <c r="AQ83" s="62"/>
      <c r="AR83" s="143">
        <f>2+19</f>
        <v>21</v>
      </c>
      <c r="AS83" s="13">
        <f t="shared" si="85"/>
        <v>44</v>
      </c>
      <c r="AT83" s="62"/>
      <c r="AU83" s="143"/>
      <c r="AV83" s="13">
        <f t="shared" si="86"/>
        <v>44</v>
      </c>
      <c r="AW83" s="62">
        <v>72</v>
      </c>
      <c r="AX83" s="143">
        <v>11</v>
      </c>
      <c r="AY83" s="13">
        <f t="shared" si="87"/>
        <v>105</v>
      </c>
      <c r="AZ83" s="62"/>
      <c r="BA83" s="143">
        <v>25</v>
      </c>
      <c r="BB83" s="13">
        <f t="shared" si="88"/>
        <v>80</v>
      </c>
      <c r="BC83" s="62"/>
      <c r="BD83" s="143">
        <v>25</v>
      </c>
      <c r="BE83" s="13">
        <f t="shared" si="89"/>
        <v>55</v>
      </c>
      <c r="BF83" s="62"/>
      <c r="BG83" s="143"/>
      <c r="BH83" s="13">
        <f t="shared" si="90"/>
        <v>55</v>
      </c>
      <c r="BI83" s="62">
        <v>48</v>
      </c>
      <c r="BJ83" s="143">
        <v>31</v>
      </c>
      <c r="BK83" s="13">
        <f t="shared" si="91"/>
        <v>72</v>
      </c>
      <c r="BL83" s="62"/>
      <c r="BM83" s="143">
        <v>30</v>
      </c>
      <c r="BN83" s="13">
        <f t="shared" si="92"/>
        <v>42</v>
      </c>
      <c r="BO83" s="62"/>
      <c r="BP83" s="143"/>
      <c r="BQ83" s="13">
        <f t="shared" si="93"/>
        <v>42</v>
      </c>
      <c r="BR83" s="62">
        <v>72</v>
      </c>
      <c r="BS83" s="143">
        <v>16</v>
      </c>
      <c r="BT83" s="13">
        <f t="shared" si="37"/>
        <v>98</v>
      </c>
      <c r="BU83" s="62"/>
      <c r="BV83" s="143">
        <v>11</v>
      </c>
      <c r="BW83" s="13">
        <f t="shared" si="94"/>
        <v>87</v>
      </c>
      <c r="BX83" s="62"/>
      <c r="BY83" s="143">
        <v>17</v>
      </c>
      <c r="BZ83" s="13">
        <f t="shared" si="38"/>
        <v>70</v>
      </c>
      <c r="CA83" s="62"/>
      <c r="CB83" s="143"/>
      <c r="CC83" s="13">
        <f t="shared" si="39"/>
        <v>70</v>
      </c>
      <c r="CD83" s="62">
        <f>24+24</f>
        <v>48</v>
      </c>
      <c r="CE83" s="143">
        <v>22</v>
      </c>
      <c r="CF83" s="13">
        <f t="shared" si="40"/>
        <v>96</v>
      </c>
      <c r="CG83" s="62"/>
      <c r="CH83" s="143">
        <v>16</v>
      </c>
      <c r="CI83" s="13">
        <f t="shared" si="46"/>
        <v>80</v>
      </c>
      <c r="CJ83" s="62"/>
      <c r="CK83" s="143"/>
      <c r="CL83" s="13">
        <f t="shared" si="47"/>
        <v>80</v>
      </c>
      <c r="CM83" s="62"/>
      <c r="CN83" s="143">
        <v>22</v>
      </c>
      <c r="CO83" s="13">
        <f t="shared" si="41"/>
        <v>58</v>
      </c>
      <c r="CP83" s="62">
        <v>48</v>
      </c>
      <c r="CQ83" s="143">
        <v>10</v>
      </c>
      <c r="CR83" s="13">
        <f t="shared" si="48"/>
        <v>96</v>
      </c>
      <c r="CS83" s="62"/>
      <c r="CT83" s="143">
        <v>31</v>
      </c>
      <c r="CU83" s="14">
        <f t="shared" si="42"/>
        <v>65</v>
      </c>
      <c r="CV83" s="5">
        <f>G83+J83+M83+P83+S83+V83+Y83+AB83+AE83+AH83+AK83+AN83+AQ83+AT83+AW83+AZ83+BC83+BF83+BI83+BL83+BO83+BR83+BU83+BX83+CA83+CD83+CG83+CJ83+CM83+CP83+CS83</f>
        <v>472</v>
      </c>
      <c r="CW83" s="4">
        <f>H83+K83+N83+Q83+T83+W83+Z83+AC83+AF83+AI83+AL83+AO83+AR83+AU83+AX83+BA83+BD83+BG83+BJ83+BM83+BP83+BS83+BV83+BY83+CB83+CE83+CH83+CK83+CN83+CQ83+CT83</f>
        <v>516</v>
      </c>
      <c r="CX83" s="6">
        <f t="shared" si="95"/>
        <v>65</v>
      </c>
      <c r="CY83" s="164">
        <v>0</v>
      </c>
      <c r="CZ83" s="171">
        <f t="shared" si="45"/>
        <v>0</v>
      </c>
      <c r="DB83" s="2">
        <f t="shared" si="49"/>
        <v>65</v>
      </c>
      <c r="DC83" s="62"/>
      <c r="DD83" s="143"/>
      <c r="DE83" s="149">
        <f t="shared" si="50"/>
        <v>65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212997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230036.76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DEB22-366D-47D2-BEC0-A75A4729939F}">
  <sheetPr codeName="Sheet39">
    <tabColor rgb="FF00B0F0"/>
    <pageSetUpPr fitToPage="1"/>
  </sheetPr>
  <dimension ref="A1:DE133"/>
  <sheetViews>
    <sheetView zoomScale="160" zoomScaleNormal="160" workbookViewId="0">
      <pane xSplit="5" ySplit="4" topLeftCell="CV5" activePane="bottomRight" state="frozen"/>
      <selection pane="topRight" activeCell="F1" sqref="F1"/>
      <selection pane="bottomLeft" activeCell="A5" sqref="A5"/>
      <selection pane="bottomRight" activeCell="DD49" sqref="DD49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hidden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3" width="5" style="10" hidden="1" customWidth="1"/>
    <col min="94" max="99" width="5" style="10" customWidth="1"/>
    <col min="100" max="102" width="6.33203125" style="1" customWidth="1"/>
    <col min="103" max="103" width="5.6640625" style="1" customWidth="1"/>
    <col min="104" max="104" width="7.77734375" style="1" customWidth="1"/>
    <col min="105" max="105" width="1.44140625" style="1" customWidth="1"/>
    <col min="106" max="106" width="5.4414062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4</v>
      </c>
      <c r="E1" s="1" t="s">
        <v>1</v>
      </c>
      <c r="F1" s="31" t="s">
        <v>2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10</v>
      </c>
      <c r="G5" s="62"/>
      <c r="H5" s="143"/>
      <c r="I5" s="13">
        <f t="shared" ref="I5:I67" si="0">F5+G5-H5</f>
        <v>10</v>
      </c>
      <c r="J5" s="62"/>
      <c r="K5" s="143"/>
      <c r="L5" s="13">
        <f t="shared" ref="L5:L67" si="1">I5+J5-K5</f>
        <v>10</v>
      </c>
      <c r="M5" s="62"/>
      <c r="N5" s="143"/>
      <c r="O5" s="13">
        <f t="shared" ref="O5:O67" si="2">L5+M5-N5</f>
        <v>10</v>
      </c>
      <c r="P5" s="62"/>
      <c r="Q5" s="143"/>
      <c r="R5" s="13">
        <f t="shared" ref="R5:R67" si="3">O5+P5-Q5</f>
        <v>10</v>
      </c>
      <c r="S5" s="62"/>
      <c r="T5" s="143"/>
      <c r="U5" s="13">
        <f t="shared" ref="U5:U68" si="4">R5+S5-T5</f>
        <v>10</v>
      </c>
      <c r="V5" s="62"/>
      <c r="W5" s="143"/>
      <c r="X5" s="13">
        <f t="shared" ref="X5:X68" si="5">U5+V5-W5</f>
        <v>10</v>
      </c>
      <c r="Y5" s="62"/>
      <c r="Z5" s="143"/>
      <c r="AA5" s="13">
        <f>X5+Y5-Z5</f>
        <v>10</v>
      </c>
      <c r="AB5" s="62"/>
      <c r="AC5" s="143"/>
      <c r="AD5" s="13">
        <f>AA5+AB5-AC5</f>
        <v>10</v>
      </c>
      <c r="AE5" s="62"/>
      <c r="AF5" s="143"/>
      <c r="AG5" s="13">
        <f>AD5+AE5-AF5</f>
        <v>10</v>
      </c>
      <c r="AH5" s="62">
        <v>-10</v>
      </c>
      <c r="AI5" s="143"/>
      <c r="AJ5" s="13">
        <f>AG5+AH5-AI5</f>
        <v>0</v>
      </c>
      <c r="AK5" s="62"/>
      <c r="AL5" s="143"/>
      <c r="AM5" s="13">
        <f t="shared" ref="AM5:AM68" si="6">AJ5+AK5-AL5</f>
        <v>0</v>
      </c>
      <c r="AN5" s="62"/>
      <c r="AO5" s="143"/>
      <c r="AP5" s="13">
        <f t="shared" ref="AP5:AP68" si="7">AM5+AN5-AO5</f>
        <v>0</v>
      </c>
      <c r="AQ5" s="62"/>
      <c r="AR5" s="143"/>
      <c r="AS5" s="13">
        <f t="shared" ref="AS5:AS68" si="8">AP5+AQ5-AR5</f>
        <v>0</v>
      </c>
      <c r="AT5" s="62"/>
      <c r="AU5" s="143"/>
      <c r="AV5" s="13">
        <f t="shared" ref="AV5:AV68" si="9">AS5+AT5-AU5</f>
        <v>0</v>
      </c>
      <c r="AW5" s="62"/>
      <c r="AX5" s="143"/>
      <c r="AY5" s="13">
        <f t="shared" ref="AY5:AY68" si="10">AV5+AW5-AX5</f>
        <v>0</v>
      </c>
      <c r="AZ5" s="62"/>
      <c r="BA5" s="143"/>
      <c r="BB5" s="13">
        <f t="shared" ref="BB5:BB68" si="11">AY5+AZ5-BA5</f>
        <v>0</v>
      </c>
      <c r="BC5" s="62"/>
      <c r="BD5" s="143"/>
      <c r="BE5" s="13">
        <f t="shared" ref="BE5:BE68" si="12">BB5+BC5-BD5</f>
        <v>0</v>
      </c>
      <c r="BF5" s="62"/>
      <c r="BG5" s="143"/>
      <c r="BH5" s="13">
        <f t="shared" ref="BH5:BH68" si="13">BE5+BF5-BG5</f>
        <v>0</v>
      </c>
      <c r="BI5" s="62"/>
      <c r="BJ5" s="143"/>
      <c r="BK5" s="13">
        <f t="shared" ref="BK5:BK68" si="14">BH5+BI5-BJ5</f>
        <v>0</v>
      </c>
      <c r="BL5" s="62"/>
      <c r="BM5" s="143"/>
      <c r="BN5" s="13">
        <f t="shared" ref="BN5:BN68" si="15">BK5+BL5-BM5</f>
        <v>0</v>
      </c>
      <c r="BO5" s="62"/>
      <c r="BP5" s="143"/>
      <c r="BQ5" s="13">
        <f t="shared" ref="BQ5:BQ68" si="16">BN5+BO5-BP5</f>
        <v>0</v>
      </c>
      <c r="BR5" s="62"/>
      <c r="BS5" s="143"/>
      <c r="BT5" s="13">
        <f t="shared" ref="BT5:BT68" si="17">BQ5+BR5-BS5</f>
        <v>0</v>
      </c>
      <c r="BU5" s="62"/>
      <c r="BV5" s="143"/>
      <c r="BW5" s="13">
        <f t="shared" ref="BW5:BW68" si="18">BT5+BU5-BV5</f>
        <v>0</v>
      </c>
      <c r="BX5" s="62"/>
      <c r="BY5" s="143"/>
      <c r="BZ5" s="13">
        <f t="shared" ref="BZ5:BZ68" si="19">BW5+BX5-BY5</f>
        <v>0</v>
      </c>
      <c r="CA5" s="62"/>
      <c r="CB5" s="143"/>
      <c r="CC5" s="13">
        <f t="shared" ref="CC5:CC68" si="20">BZ5+CA5-CB5</f>
        <v>0</v>
      </c>
      <c r="CD5" s="62"/>
      <c r="CE5" s="143"/>
      <c r="CF5" s="13">
        <f t="shared" ref="CF5:CF68" si="21">CC5+CD5-CE5</f>
        <v>0</v>
      </c>
      <c r="CG5" s="62"/>
      <c r="CH5" s="143"/>
      <c r="CI5" s="13">
        <f>CF5+CG5-CH5</f>
        <v>0</v>
      </c>
      <c r="CJ5" s="62"/>
      <c r="CK5" s="143"/>
      <c r="CL5" s="13">
        <f>CI5+CJ5-CK5</f>
        <v>0</v>
      </c>
      <c r="CM5" s="62"/>
      <c r="CN5" s="143"/>
      <c r="CO5" s="181">
        <f t="shared" ref="CO5:CO68" si="22">CL5+CM5-CN5</f>
        <v>0</v>
      </c>
      <c r="CP5" s="62"/>
      <c r="CQ5" s="143"/>
      <c r="CR5" s="181">
        <f>CO5+CP5-CQ5</f>
        <v>0</v>
      </c>
      <c r="CS5" s="61"/>
      <c r="CT5" s="143"/>
      <c r="CU5" s="14">
        <f t="shared" ref="CU5:CU68" si="23">CR5+CS5-CT5</f>
        <v>0</v>
      </c>
      <c r="CV5" s="5">
        <f t="shared" ref="CV5:CW36" si="24">G5+J5+M5+P5+S5+V5+Y5+AB5+AE5+AH5+AK5+AN5+AQ5+AT5+AW5+AZ5+BC5+BF5+BI5+BL5+BO5+BR5+BU5+BX5+CA5+CD5+CG5+CJ5+CM5+CP5+CS5</f>
        <v>-10</v>
      </c>
      <c r="CW5" s="4">
        <f t="shared" si="24"/>
        <v>0</v>
      </c>
      <c r="CX5" s="6">
        <f t="shared" ref="CX5:CX68" si="25">CU5</f>
        <v>0</v>
      </c>
      <c r="CY5" s="162">
        <v>125</v>
      </c>
      <c r="CZ5" s="171">
        <f t="shared" ref="CZ5:CZ68" si="26">CX5*CY5</f>
        <v>0</v>
      </c>
      <c r="DB5" s="2">
        <f>CU5</f>
        <v>0</v>
      </c>
      <c r="DC5" s="61"/>
      <c r="DD5" s="143"/>
      <c r="DE5" s="149">
        <f>DC5+DB5-DD5</f>
        <v>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4</v>
      </c>
      <c r="G6" s="62">
        <v>10</v>
      </c>
      <c r="H6" s="143"/>
      <c r="I6" s="13">
        <f t="shared" si="0"/>
        <v>14</v>
      </c>
      <c r="J6" s="62"/>
      <c r="K6" s="143">
        <f>1</f>
        <v>1</v>
      </c>
      <c r="L6" s="13">
        <f t="shared" si="1"/>
        <v>13</v>
      </c>
      <c r="M6" s="62"/>
      <c r="N6" s="143"/>
      <c r="O6" s="13">
        <f t="shared" si="2"/>
        <v>13</v>
      </c>
      <c r="P6" s="62"/>
      <c r="Q6" s="143">
        <f>2</f>
        <v>2</v>
      </c>
      <c r="R6" s="13">
        <f t="shared" si="3"/>
        <v>11</v>
      </c>
      <c r="S6" s="62">
        <v>10</v>
      </c>
      <c r="T6" s="143">
        <f>2+1+4</f>
        <v>7</v>
      </c>
      <c r="U6" s="13">
        <f t="shared" si="4"/>
        <v>14</v>
      </c>
      <c r="V6" s="62"/>
      <c r="W6" s="143"/>
      <c r="X6" s="13">
        <f t="shared" si="5"/>
        <v>14</v>
      </c>
      <c r="Y6" s="62"/>
      <c r="Z6" s="143">
        <f>2</f>
        <v>2</v>
      </c>
      <c r="AA6" s="13">
        <f t="shared" ref="AA6:AA68" si="27">X6+Y6-Z6</f>
        <v>12</v>
      </c>
      <c r="AB6" s="62"/>
      <c r="AC6" s="143">
        <f>2+4</f>
        <v>6</v>
      </c>
      <c r="AD6" s="13">
        <f t="shared" ref="AD6:AD68" si="28">AA6+AB6-AC6</f>
        <v>6</v>
      </c>
      <c r="AE6" s="62"/>
      <c r="AF6" s="143"/>
      <c r="AG6" s="13">
        <f t="shared" ref="AG6:AG68" si="29">AD6+AE6-AF6</f>
        <v>6</v>
      </c>
      <c r="AH6" s="62"/>
      <c r="AI6" s="143"/>
      <c r="AJ6" s="13">
        <f t="shared" ref="AJ6:AJ68" si="30">AG6+AH6-AI6</f>
        <v>6</v>
      </c>
      <c r="AK6" s="62">
        <v>10</v>
      </c>
      <c r="AL6" s="143">
        <f>3+3</f>
        <v>6</v>
      </c>
      <c r="AM6" s="13">
        <f t="shared" si="6"/>
        <v>10</v>
      </c>
      <c r="AN6" s="62"/>
      <c r="AO6" s="143">
        <f>2+3</f>
        <v>5</v>
      </c>
      <c r="AP6" s="13">
        <f t="shared" si="7"/>
        <v>5</v>
      </c>
      <c r="AQ6" s="62"/>
      <c r="AR6" s="143"/>
      <c r="AS6" s="13">
        <f t="shared" si="8"/>
        <v>5</v>
      </c>
      <c r="AT6" s="62">
        <v>10</v>
      </c>
      <c r="AU6" s="143">
        <f>4+3</f>
        <v>7</v>
      </c>
      <c r="AV6" s="13">
        <f t="shared" si="9"/>
        <v>8</v>
      </c>
      <c r="AW6" s="62">
        <v>10</v>
      </c>
      <c r="AX6" s="143">
        <f>1+2+2+3+2</f>
        <v>10</v>
      </c>
      <c r="AY6" s="13">
        <f t="shared" si="10"/>
        <v>8</v>
      </c>
      <c r="AZ6" s="62"/>
      <c r="BA6" s="143"/>
      <c r="BB6" s="13">
        <f t="shared" si="11"/>
        <v>8</v>
      </c>
      <c r="BC6" s="62"/>
      <c r="BD6" s="143"/>
      <c r="BE6" s="13">
        <f t="shared" si="12"/>
        <v>8</v>
      </c>
      <c r="BF6" s="62"/>
      <c r="BG6" s="143">
        <f>4</f>
        <v>4</v>
      </c>
      <c r="BH6" s="13">
        <f t="shared" si="13"/>
        <v>4</v>
      </c>
      <c r="BI6" s="62">
        <v>20</v>
      </c>
      <c r="BJ6" s="143">
        <f>1+3+3+3+2</f>
        <v>12</v>
      </c>
      <c r="BK6" s="13">
        <f t="shared" si="14"/>
        <v>12</v>
      </c>
      <c r="BL6" s="62"/>
      <c r="BM6" s="143"/>
      <c r="BN6" s="13">
        <f t="shared" si="15"/>
        <v>12</v>
      </c>
      <c r="BO6" s="62"/>
      <c r="BP6" s="143">
        <f>1+4</f>
        <v>5</v>
      </c>
      <c r="BQ6" s="13">
        <f t="shared" si="16"/>
        <v>7</v>
      </c>
      <c r="BR6" s="62"/>
      <c r="BS6" s="143">
        <f>2+3</f>
        <v>5</v>
      </c>
      <c r="BT6" s="13">
        <f t="shared" si="17"/>
        <v>2</v>
      </c>
      <c r="BU6" s="62"/>
      <c r="BV6" s="143"/>
      <c r="BW6" s="13">
        <f t="shared" si="18"/>
        <v>2</v>
      </c>
      <c r="BX6" s="62">
        <v>10</v>
      </c>
      <c r="BY6" s="143"/>
      <c r="BZ6" s="13">
        <f t="shared" si="19"/>
        <v>12</v>
      </c>
      <c r="CA6" s="62"/>
      <c r="CB6" s="143">
        <f>2</f>
        <v>2</v>
      </c>
      <c r="CC6" s="13">
        <f t="shared" si="20"/>
        <v>10</v>
      </c>
      <c r="CD6" s="62">
        <v>10</v>
      </c>
      <c r="CE6" s="143">
        <f>4+2</f>
        <v>6</v>
      </c>
      <c r="CF6" s="13">
        <f t="shared" si="21"/>
        <v>14</v>
      </c>
      <c r="CG6" s="62"/>
      <c r="CH6" s="143"/>
      <c r="CI6" s="13">
        <f t="shared" ref="CI6:CI69" si="31">CF6+CG6-CH6</f>
        <v>14</v>
      </c>
      <c r="CJ6" s="62"/>
      <c r="CK6" s="143">
        <f>2+3</f>
        <v>5</v>
      </c>
      <c r="CL6" s="13">
        <f t="shared" ref="CL6:CL69" si="32">CI6+CJ6-CK6</f>
        <v>9</v>
      </c>
      <c r="CM6" s="62"/>
      <c r="CN6" s="143"/>
      <c r="CO6" s="13">
        <f t="shared" si="22"/>
        <v>9</v>
      </c>
      <c r="CP6" s="62"/>
      <c r="CQ6" s="143"/>
      <c r="CR6" s="13">
        <f t="shared" ref="CR6:CR69" si="33">CO6+CP6-CQ6</f>
        <v>9</v>
      </c>
      <c r="CS6" s="61"/>
      <c r="CT6" s="143"/>
      <c r="CU6" s="14">
        <f t="shared" si="23"/>
        <v>9</v>
      </c>
      <c r="CV6" s="5">
        <f t="shared" si="24"/>
        <v>90</v>
      </c>
      <c r="CW6" s="4">
        <f t="shared" si="24"/>
        <v>85</v>
      </c>
      <c r="CX6" s="6">
        <f t="shared" si="25"/>
        <v>9</v>
      </c>
      <c r="CY6" s="162">
        <v>210</v>
      </c>
      <c r="CZ6" s="171">
        <f t="shared" si="26"/>
        <v>1890</v>
      </c>
      <c r="DB6" s="2">
        <f t="shared" ref="DB6:DB69" si="34">CU6</f>
        <v>9</v>
      </c>
      <c r="DC6" s="61"/>
      <c r="DD6" s="143"/>
      <c r="DE6" s="149">
        <f t="shared" ref="DE6:DE70" si="35">DC6+DB6-DD6</f>
        <v>9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1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11</v>
      </c>
      <c r="G8" s="62">
        <v>20</v>
      </c>
      <c r="H8" s="143">
        <v>11</v>
      </c>
      <c r="I8" s="13">
        <f t="shared" si="0"/>
        <v>20</v>
      </c>
      <c r="J8" s="62"/>
      <c r="K8" s="143"/>
      <c r="L8" s="13">
        <f t="shared" si="1"/>
        <v>20</v>
      </c>
      <c r="M8" s="62">
        <v>20</v>
      </c>
      <c r="N8" s="143">
        <v>8</v>
      </c>
      <c r="O8" s="13">
        <f t="shared" si="2"/>
        <v>32</v>
      </c>
      <c r="P8" s="62"/>
      <c r="Q8" s="143">
        <v>6</v>
      </c>
      <c r="R8" s="13">
        <f t="shared" si="3"/>
        <v>26</v>
      </c>
      <c r="S8" s="62">
        <v>20</v>
      </c>
      <c r="T8" s="143">
        <v>10</v>
      </c>
      <c r="U8" s="13">
        <f t="shared" si="4"/>
        <v>36</v>
      </c>
      <c r="V8" s="62"/>
      <c r="W8" s="143"/>
      <c r="X8" s="13">
        <f t="shared" si="5"/>
        <v>36</v>
      </c>
      <c r="Y8" s="62"/>
      <c r="Z8" s="143">
        <v>8</v>
      </c>
      <c r="AA8" s="13">
        <f t="shared" si="27"/>
        <v>28</v>
      </c>
      <c r="AB8" s="62"/>
      <c r="AC8" s="143">
        <v>11</v>
      </c>
      <c r="AD8" s="13">
        <f t="shared" si="28"/>
        <v>17</v>
      </c>
      <c r="AE8" s="62"/>
      <c r="AF8" s="143"/>
      <c r="AG8" s="13">
        <f t="shared" si="29"/>
        <v>17</v>
      </c>
      <c r="AH8" s="62">
        <v>20</v>
      </c>
      <c r="AI8" s="143">
        <v>3</v>
      </c>
      <c r="AJ8" s="13">
        <f t="shared" si="30"/>
        <v>34</v>
      </c>
      <c r="AK8" s="62"/>
      <c r="AL8" s="143">
        <v>5</v>
      </c>
      <c r="AM8" s="13">
        <f t="shared" si="6"/>
        <v>29</v>
      </c>
      <c r="AN8" s="62"/>
      <c r="AO8" s="143">
        <v>11</v>
      </c>
      <c r="AP8" s="13">
        <f t="shared" si="7"/>
        <v>18</v>
      </c>
      <c r="AQ8" s="62"/>
      <c r="AR8" s="143"/>
      <c r="AS8" s="13">
        <f t="shared" si="8"/>
        <v>18</v>
      </c>
      <c r="AT8" s="62">
        <v>20</v>
      </c>
      <c r="AU8" s="143">
        <v>7</v>
      </c>
      <c r="AV8" s="13">
        <f t="shared" si="9"/>
        <v>31</v>
      </c>
      <c r="AW8" s="62"/>
      <c r="AX8" s="143">
        <v>4</v>
      </c>
      <c r="AY8" s="13">
        <f t="shared" si="10"/>
        <v>27</v>
      </c>
      <c r="AZ8" s="62"/>
      <c r="BA8" s="143"/>
      <c r="BB8" s="13">
        <f t="shared" si="11"/>
        <v>27</v>
      </c>
      <c r="BC8" s="62">
        <v>20</v>
      </c>
      <c r="BD8" s="143">
        <v>8</v>
      </c>
      <c r="BE8" s="13">
        <f t="shared" si="12"/>
        <v>39</v>
      </c>
      <c r="BF8" s="62"/>
      <c r="BG8" s="143">
        <v>3</v>
      </c>
      <c r="BH8" s="13">
        <f t="shared" si="13"/>
        <v>36</v>
      </c>
      <c r="BI8" s="62"/>
      <c r="BJ8" s="143">
        <v>14</v>
      </c>
      <c r="BK8" s="13">
        <f t="shared" si="14"/>
        <v>22</v>
      </c>
      <c r="BL8" s="62"/>
      <c r="BM8" s="143"/>
      <c r="BN8" s="13">
        <f t="shared" si="15"/>
        <v>22</v>
      </c>
      <c r="BO8" s="62">
        <v>20</v>
      </c>
      <c r="BP8" s="143">
        <v>7</v>
      </c>
      <c r="BQ8" s="13">
        <f t="shared" si="16"/>
        <v>35</v>
      </c>
      <c r="BR8" s="62"/>
      <c r="BS8" s="143">
        <v>5</v>
      </c>
      <c r="BT8" s="13">
        <f t="shared" si="17"/>
        <v>30</v>
      </c>
      <c r="BU8" s="62"/>
      <c r="BV8" s="143"/>
      <c r="BW8" s="13">
        <f t="shared" si="18"/>
        <v>30</v>
      </c>
      <c r="BX8" s="62">
        <v>20</v>
      </c>
      <c r="BY8" s="143">
        <v>4</v>
      </c>
      <c r="BZ8" s="13">
        <f t="shared" si="19"/>
        <v>46</v>
      </c>
      <c r="CA8" s="62"/>
      <c r="CB8" s="143">
        <v>9</v>
      </c>
      <c r="CC8" s="13">
        <f t="shared" si="20"/>
        <v>37</v>
      </c>
      <c r="CD8" s="62"/>
      <c r="CE8" s="143">
        <f>9</f>
        <v>9</v>
      </c>
      <c r="CF8" s="13">
        <f t="shared" si="21"/>
        <v>28</v>
      </c>
      <c r="CG8" s="62"/>
      <c r="CH8" s="143"/>
      <c r="CI8" s="13">
        <f t="shared" si="31"/>
        <v>28</v>
      </c>
      <c r="CJ8" s="62"/>
      <c r="CK8" s="143">
        <v>7</v>
      </c>
      <c r="CL8" s="13">
        <f t="shared" si="32"/>
        <v>21</v>
      </c>
      <c r="CM8" s="62"/>
      <c r="CN8" s="143">
        <v>10</v>
      </c>
      <c r="CO8" s="13">
        <f t="shared" si="22"/>
        <v>11</v>
      </c>
      <c r="CP8" s="62"/>
      <c r="CQ8" s="143"/>
      <c r="CR8" s="13">
        <f t="shared" si="33"/>
        <v>11</v>
      </c>
      <c r="CS8" s="61"/>
      <c r="CT8" s="143"/>
      <c r="CU8" s="14">
        <f t="shared" si="23"/>
        <v>11</v>
      </c>
      <c r="CV8" s="5">
        <f t="shared" si="24"/>
        <v>160</v>
      </c>
      <c r="CW8" s="4">
        <f t="shared" si="24"/>
        <v>160</v>
      </c>
      <c r="CX8" s="6">
        <f t="shared" si="25"/>
        <v>11</v>
      </c>
      <c r="CY8" s="162">
        <v>125</v>
      </c>
      <c r="CZ8" s="171">
        <f t="shared" si="26"/>
        <v>1375</v>
      </c>
      <c r="DB8" s="2">
        <f t="shared" si="34"/>
        <v>11</v>
      </c>
      <c r="DC8" s="61"/>
      <c r="DD8" s="143"/>
      <c r="DE8" s="149">
        <f t="shared" si="35"/>
        <v>11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1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66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33</v>
      </c>
      <c r="G12" s="62">
        <f>-10+60</f>
        <v>50</v>
      </c>
      <c r="H12" s="143">
        <v>33</v>
      </c>
      <c r="I12" s="13">
        <f t="shared" si="0"/>
        <v>50</v>
      </c>
      <c r="J12" s="62"/>
      <c r="K12" s="143"/>
      <c r="L12" s="13">
        <f t="shared" si="1"/>
        <v>50</v>
      </c>
      <c r="M12" s="62">
        <v>40</v>
      </c>
      <c r="N12" s="143">
        <f>6+18</f>
        <v>24</v>
      </c>
      <c r="O12" s="13">
        <f t="shared" si="2"/>
        <v>66</v>
      </c>
      <c r="P12" s="62">
        <v>60</v>
      </c>
      <c r="Q12" s="143">
        <f>3+34</f>
        <v>37</v>
      </c>
      <c r="R12" s="13">
        <f t="shared" si="3"/>
        <v>89</v>
      </c>
      <c r="S12" s="62">
        <v>40</v>
      </c>
      <c r="T12" s="143">
        <f>7+49</f>
        <v>56</v>
      </c>
      <c r="U12" s="13">
        <f t="shared" si="4"/>
        <v>73</v>
      </c>
      <c r="V12" s="62"/>
      <c r="W12" s="143"/>
      <c r="X12" s="13">
        <f t="shared" si="5"/>
        <v>73</v>
      </c>
      <c r="Y12" s="62">
        <v>20</v>
      </c>
      <c r="Z12" s="143">
        <f>4+35</f>
        <v>39</v>
      </c>
      <c r="AA12" s="13">
        <f t="shared" si="27"/>
        <v>54</v>
      </c>
      <c r="AB12" s="62">
        <f>-3+40</f>
        <v>37</v>
      </c>
      <c r="AC12" s="143">
        <f>8+46</f>
        <v>54</v>
      </c>
      <c r="AD12" s="13">
        <f t="shared" si="28"/>
        <v>37</v>
      </c>
      <c r="AE12" s="62"/>
      <c r="AF12" s="143"/>
      <c r="AG12" s="13">
        <f t="shared" si="29"/>
        <v>37</v>
      </c>
      <c r="AH12" s="62">
        <v>40</v>
      </c>
      <c r="AI12" s="143">
        <f>8+24</f>
        <v>32</v>
      </c>
      <c r="AJ12" s="13">
        <f t="shared" si="30"/>
        <v>45</v>
      </c>
      <c r="AK12" s="62">
        <f>40+20</f>
        <v>60</v>
      </c>
      <c r="AL12" s="143">
        <f>6+34</f>
        <v>40</v>
      </c>
      <c r="AM12" s="13">
        <f t="shared" si="6"/>
        <v>65</v>
      </c>
      <c r="AN12" s="62">
        <f>-19+20+20</f>
        <v>21</v>
      </c>
      <c r="AO12" s="143">
        <f>8+57+6</f>
        <v>71</v>
      </c>
      <c r="AP12" s="13">
        <f t="shared" si="7"/>
        <v>15</v>
      </c>
      <c r="AQ12" s="62"/>
      <c r="AR12" s="143"/>
      <c r="AS12" s="13">
        <f t="shared" si="8"/>
        <v>15</v>
      </c>
      <c r="AT12" s="62">
        <f>20+40-12-1-4</f>
        <v>43</v>
      </c>
      <c r="AU12" s="143">
        <v>15</v>
      </c>
      <c r="AV12" s="13">
        <f t="shared" si="9"/>
        <v>43</v>
      </c>
      <c r="AW12" s="62">
        <f>-20+40+20</f>
        <v>40</v>
      </c>
      <c r="AX12" s="143">
        <f>9+34</f>
        <v>43</v>
      </c>
      <c r="AY12" s="13">
        <f t="shared" si="10"/>
        <v>40</v>
      </c>
      <c r="AZ12" s="62"/>
      <c r="BA12" s="143"/>
      <c r="BB12" s="13">
        <f t="shared" si="11"/>
        <v>40</v>
      </c>
      <c r="BC12" s="62">
        <v>40</v>
      </c>
      <c r="BD12" s="143">
        <f>4+16</f>
        <v>20</v>
      </c>
      <c r="BE12" s="13">
        <f t="shared" si="12"/>
        <v>60</v>
      </c>
      <c r="BF12" s="62">
        <v>40</v>
      </c>
      <c r="BG12" s="143">
        <f>3+18</f>
        <v>21</v>
      </c>
      <c r="BH12" s="13">
        <f t="shared" si="13"/>
        <v>79</v>
      </c>
      <c r="BI12" s="62">
        <v>20</v>
      </c>
      <c r="BJ12" s="143">
        <f>8+66</f>
        <v>74</v>
      </c>
      <c r="BK12" s="13">
        <f t="shared" si="14"/>
        <v>25</v>
      </c>
      <c r="BL12" s="62"/>
      <c r="BM12" s="143"/>
      <c r="BN12" s="13">
        <f t="shared" si="15"/>
        <v>25</v>
      </c>
      <c r="BO12" s="62">
        <f>-9+40+20</f>
        <v>51</v>
      </c>
      <c r="BP12" s="143">
        <f>4+21</f>
        <v>25</v>
      </c>
      <c r="BQ12" s="13">
        <f t="shared" si="16"/>
        <v>51</v>
      </c>
      <c r="BR12" s="62">
        <v>40</v>
      </c>
      <c r="BS12" s="143">
        <f>2+32+4</f>
        <v>38</v>
      </c>
      <c r="BT12" s="13">
        <f t="shared" si="17"/>
        <v>53</v>
      </c>
      <c r="BU12" s="62"/>
      <c r="BV12" s="143"/>
      <c r="BW12" s="13">
        <f t="shared" si="18"/>
        <v>53</v>
      </c>
      <c r="BX12" s="62">
        <v>40</v>
      </c>
      <c r="BY12" s="143">
        <f>3+28</f>
        <v>31</v>
      </c>
      <c r="BZ12" s="13">
        <f t="shared" si="19"/>
        <v>62</v>
      </c>
      <c r="CA12" s="62">
        <v>40</v>
      </c>
      <c r="CB12" s="143">
        <f>34</f>
        <v>34</v>
      </c>
      <c r="CC12" s="13">
        <f t="shared" si="20"/>
        <v>68</v>
      </c>
      <c r="CD12" s="62">
        <v>20</v>
      </c>
      <c r="CE12" s="143">
        <f>12+50</f>
        <v>62</v>
      </c>
      <c r="CF12" s="13">
        <f t="shared" si="21"/>
        <v>26</v>
      </c>
      <c r="CG12" s="62"/>
      <c r="CH12" s="143"/>
      <c r="CI12" s="13">
        <f t="shared" si="31"/>
        <v>26</v>
      </c>
      <c r="CJ12" s="62">
        <f>-27+80+20</f>
        <v>73</v>
      </c>
      <c r="CK12" s="143">
        <f>6+20</f>
        <v>26</v>
      </c>
      <c r="CL12" s="13">
        <f t="shared" si="32"/>
        <v>73</v>
      </c>
      <c r="CM12" s="62"/>
      <c r="CN12" s="143">
        <f>12+26+12</f>
        <v>50</v>
      </c>
      <c r="CO12" s="13">
        <f t="shared" si="22"/>
        <v>23</v>
      </c>
      <c r="CP12" s="62">
        <v>42</v>
      </c>
      <c r="CQ12" s="143"/>
      <c r="CR12" s="13">
        <f t="shared" si="33"/>
        <v>65</v>
      </c>
      <c r="CS12" s="61"/>
      <c r="CT12" s="143"/>
      <c r="CU12" s="14">
        <f t="shared" si="23"/>
        <v>65</v>
      </c>
      <c r="CV12" s="5">
        <f t="shared" si="24"/>
        <v>857</v>
      </c>
      <c r="CW12" s="4">
        <f t="shared" si="24"/>
        <v>825</v>
      </c>
      <c r="CX12" s="6">
        <f t="shared" si="25"/>
        <v>65</v>
      </c>
      <c r="CY12" s="191">
        <v>45</v>
      </c>
      <c r="CZ12" s="171">
        <f t="shared" si="26"/>
        <v>2925</v>
      </c>
      <c r="DB12" s="2">
        <f t="shared" si="34"/>
        <v>65</v>
      </c>
      <c r="DC12" s="61"/>
      <c r="DD12" s="143"/>
      <c r="DE12" s="149">
        <f t="shared" si="35"/>
        <v>65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5.75</v>
      </c>
      <c r="G13" s="62"/>
      <c r="H13" s="143">
        <f>1+1.75</f>
        <v>2.75</v>
      </c>
      <c r="I13" s="13">
        <f t="shared" si="0"/>
        <v>3</v>
      </c>
      <c r="J13" s="62"/>
      <c r="K13" s="143"/>
      <c r="L13" s="13">
        <f t="shared" si="1"/>
        <v>3</v>
      </c>
      <c r="M13" s="62">
        <v>6</v>
      </c>
      <c r="N13" s="143">
        <f>1+2+0.5</f>
        <v>3.5</v>
      </c>
      <c r="O13" s="13">
        <f t="shared" si="2"/>
        <v>5.5</v>
      </c>
      <c r="P13" s="62"/>
      <c r="Q13" s="143">
        <f>1</f>
        <v>1</v>
      </c>
      <c r="R13" s="30">
        <f t="shared" si="3"/>
        <v>4.5</v>
      </c>
      <c r="S13" s="62">
        <v>6</v>
      </c>
      <c r="T13" s="143">
        <f>1</f>
        <v>1</v>
      </c>
      <c r="U13" s="13">
        <f t="shared" si="4"/>
        <v>9.5</v>
      </c>
      <c r="V13" s="62"/>
      <c r="W13" s="143"/>
      <c r="X13" s="13">
        <f t="shared" si="5"/>
        <v>9.5</v>
      </c>
      <c r="Y13" s="62"/>
      <c r="Z13" s="143"/>
      <c r="AA13" s="13">
        <f t="shared" si="27"/>
        <v>9.5</v>
      </c>
      <c r="AB13" s="62">
        <v>6</v>
      </c>
      <c r="AC13" s="143">
        <f>1+2+1</f>
        <v>4</v>
      </c>
      <c r="AD13" s="13">
        <f t="shared" si="28"/>
        <v>11.5</v>
      </c>
      <c r="AE13" s="62"/>
      <c r="AF13" s="143"/>
      <c r="AG13" s="13">
        <f t="shared" si="29"/>
        <v>11.5</v>
      </c>
      <c r="AH13" s="62"/>
      <c r="AI13" s="143">
        <f>2.5</f>
        <v>2.5</v>
      </c>
      <c r="AJ13" s="13">
        <f t="shared" si="30"/>
        <v>9</v>
      </c>
      <c r="AK13" s="62"/>
      <c r="AL13" s="143"/>
      <c r="AM13" s="13">
        <f t="shared" si="6"/>
        <v>9</v>
      </c>
      <c r="AN13" s="62"/>
      <c r="AO13" s="143"/>
      <c r="AP13" s="13">
        <f t="shared" si="7"/>
        <v>9</v>
      </c>
      <c r="AQ13" s="62"/>
      <c r="AR13" s="143"/>
      <c r="AS13" s="13">
        <f t="shared" si="8"/>
        <v>9</v>
      </c>
      <c r="AT13" s="62"/>
      <c r="AU13" s="143"/>
      <c r="AV13" s="13">
        <f t="shared" si="9"/>
        <v>9</v>
      </c>
      <c r="AW13" s="62"/>
      <c r="AX13" s="143">
        <f>1+2+2</f>
        <v>5</v>
      </c>
      <c r="AY13" s="13">
        <f t="shared" si="10"/>
        <v>4</v>
      </c>
      <c r="AZ13" s="62"/>
      <c r="BA13" s="143"/>
      <c r="BB13" s="13">
        <f t="shared" si="11"/>
        <v>4</v>
      </c>
      <c r="BC13" s="62">
        <v>6</v>
      </c>
      <c r="BD13" s="143">
        <f>1+2.5</f>
        <v>3.5</v>
      </c>
      <c r="BE13" s="13">
        <f t="shared" si="12"/>
        <v>6.5</v>
      </c>
      <c r="BF13" s="62">
        <v>6</v>
      </c>
      <c r="BG13" s="143">
        <f>2</f>
        <v>2</v>
      </c>
      <c r="BH13" s="13">
        <f t="shared" si="13"/>
        <v>10.5</v>
      </c>
      <c r="BI13" s="62"/>
      <c r="BJ13" s="143">
        <f>1</f>
        <v>1</v>
      </c>
      <c r="BK13" s="13">
        <f t="shared" si="14"/>
        <v>9.5</v>
      </c>
      <c r="BL13" s="62"/>
      <c r="BM13" s="143"/>
      <c r="BN13" s="13">
        <f t="shared" si="15"/>
        <v>9.5</v>
      </c>
      <c r="BO13" s="62"/>
      <c r="BP13" s="143"/>
      <c r="BQ13" s="13">
        <f t="shared" si="16"/>
        <v>9.5</v>
      </c>
      <c r="BR13" s="62"/>
      <c r="BS13" s="143">
        <f>1+1</f>
        <v>2</v>
      </c>
      <c r="BT13" s="13">
        <f t="shared" si="17"/>
        <v>7.5</v>
      </c>
      <c r="BU13" s="62"/>
      <c r="BV13" s="143"/>
      <c r="BW13" s="13">
        <f t="shared" si="18"/>
        <v>7.5</v>
      </c>
      <c r="BX13" s="62"/>
      <c r="BY13" s="143">
        <f>1+3</f>
        <v>4</v>
      </c>
      <c r="BZ13" s="13">
        <f t="shared" si="19"/>
        <v>3.5</v>
      </c>
      <c r="CA13" s="62"/>
      <c r="CB13" s="143"/>
      <c r="CC13" s="13">
        <f t="shared" si="20"/>
        <v>3.5</v>
      </c>
      <c r="CD13" s="62"/>
      <c r="CE13" s="143">
        <f>1</f>
        <v>1</v>
      </c>
      <c r="CF13" s="13">
        <f t="shared" si="21"/>
        <v>2.5</v>
      </c>
      <c r="CG13" s="62"/>
      <c r="CH13" s="143"/>
      <c r="CI13" s="13">
        <f>CF13+CG13-CH13</f>
        <v>2.5</v>
      </c>
      <c r="CJ13" s="62">
        <v>6</v>
      </c>
      <c r="CK13" s="143"/>
      <c r="CL13" s="13">
        <f>CI13+CJ13-CK13</f>
        <v>8.5</v>
      </c>
      <c r="CM13" s="62"/>
      <c r="CN13" s="143">
        <f>1</f>
        <v>1</v>
      </c>
      <c r="CO13" s="13">
        <f t="shared" si="22"/>
        <v>7.5</v>
      </c>
      <c r="CP13" s="62"/>
      <c r="CQ13" s="143"/>
      <c r="CR13" s="13">
        <f t="shared" si="33"/>
        <v>7.5</v>
      </c>
      <c r="CS13" s="61"/>
      <c r="CT13" s="143"/>
      <c r="CU13" s="14">
        <f t="shared" si="23"/>
        <v>7.5</v>
      </c>
      <c r="CV13" s="5">
        <f t="shared" si="24"/>
        <v>36</v>
      </c>
      <c r="CW13" s="4">
        <f t="shared" si="24"/>
        <v>34.25</v>
      </c>
      <c r="CX13" s="6">
        <f t="shared" si="25"/>
        <v>7.5</v>
      </c>
      <c r="CY13" s="162">
        <v>497</v>
      </c>
      <c r="CZ13" s="171">
        <f t="shared" si="26"/>
        <v>3727.5</v>
      </c>
      <c r="DB13" s="2">
        <f t="shared" si="34"/>
        <v>7.5</v>
      </c>
      <c r="DC13" s="61"/>
      <c r="DD13" s="143">
        <f>1.5</f>
        <v>1.5</v>
      </c>
      <c r="DE13" s="149">
        <f t="shared" si="35"/>
        <v>6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5</v>
      </c>
      <c r="G14" s="62">
        <v>16</v>
      </c>
      <c r="H14" s="143">
        <f>2+1+1.5+2+1.5+2+1+1+2</f>
        <v>14</v>
      </c>
      <c r="I14" s="13">
        <f t="shared" si="0"/>
        <v>7</v>
      </c>
      <c r="J14" s="62"/>
      <c r="K14" s="143"/>
      <c r="L14" s="13">
        <f t="shared" si="1"/>
        <v>7</v>
      </c>
      <c r="M14" s="62"/>
      <c r="N14" s="143">
        <f>0.5+0.5+0.5</f>
        <v>1.5</v>
      </c>
      <c r="O14" s="13">
        <f t="shared" si="2"/>
        <v>5.5</v>
      </c>
      <c r="P14" s="62">
        <v>8</v>
      </c>
      <c r="Q14" s="143">
        <f>3</f>
        <v>3</v>
      </c>
      <c r="R14" s="30">
        <f t="shared" si="3"/>
        <v>10.5</v>
      </c>
      <c r="S14" s="62">
        <v>16</v>
      </c>
      <c r="T14" s="143">
        <f>3+1+1+2+1+1+1.5+1+1+1</f>
        <v>13.5</v>
      </c>
      <c r="U14" s="13">
        <f t="shared" si="4"/>
        <v>13</v>
      </c>
      <c r="V14" s="62"/>
      <c r="W14" s="143"/>
      <c r="X14" s="13">
        <f t="shared" si="5"/>
        <v>13</v>
      </c>
      <c r="Y14" s="62">
        <v>8</v>
      </c>
      <c r="Z14" s="143">
        <f>2+2+2+2</f>
        <v>8</v>
      </c>
      <c r="AA14" s="13">
        <f t="shared" si="27"/>
        <v>13</v>
      </c>
      <c r="AB14" s="62">
        <v>8</v>
      </c>
      <c r="AC14" s="143">
        <f>4+1.5+2+1.5+1.5+2+1.5+1.5</f>
        <v>15.5</v>
      </c>
      <c r="AD14" s="13">
        <f t="shared" si="28"/>
        <v>5.5</v>
      </c>
      <c r="AE14" s="62"/>
      <c r="AF14" s="143"/>
      <c r="AG14" s="13">
        <f t="shared" si="29"/>
        <v>5.5</v>
      </c>
      <c r="AH14" s="62">
        <v>8</v>
      </c>
      <c r="AI14" s="143">
        <f>2+3.5+0.5+0.5+0.5+0.5+0.5+0.5</f>
        <v>8.5</v>
      </c>
      <c r="AJ14" s="13">
        <f t="shared" si="30"/>
        <v>5</v>
      </c>
      <c r="AK14" s="62">
        <v>8</v>
      </c>
      <c r="AL14" s="143">
        <f>2+1+2</f>
        <v>5</v>
      </c>
      <c r="AM14" s="13">
        <f t="shared" si="6"/>
        <v>8</v>
      </c>
      <c r="AN14" s="62">
        <v>8</v>
      </c>
      <c r="AO14" s="143">
        <f>1+1+1+1+4</f>
        <v>8</v>
      </c>
      <c r="AP14" s="13">
        <f t="shared" si="7"/>
        <v>8</v>
      </c>
      <c r="AQ14" s="62"/>
      <c r="AR14" s="143"/>
      <c r="AS14" s="13">
        <f t="shared" si="8"/>
        <v>8</v>
      </c>
      <c r="AT14" s="62"/>
      <c r="AU14" s="143">
        <f>1+1</f>
        <v>2</v>
      </c>
      <c r="AV14" s="13">
        <f t="shared" si="9"/>
        <v>6</v>
      </c>
      <c r="AW14" s="62">
        <v>16</v>
      </c>
      <c r="AX14" s="143">
        <f>1.5+2+2+1+2+2</f>
        <v>10.5</v>
      </c>
      <c r="AY14" s="180">
        <f t="shared" si="10"/>
        <v>11.5</v>
      </c>
      <c r="AZ14" s="62"/>
      <c r="BA14" s="143"/>
      <c r="BB14" s="13">
        <f t="shared" si="11"/>
        <v>11.5</v>
      </c>
      <c r="BC14" s="62"/>
      <c r="BD14" s="143">
        <f>0.5</f>
        <v>0.5</v>
      </c>
      <c r="BE14" s="13">
        <f t="shared" si="12"/>
        <v>11</v>
      </c>
      <c r="BF14" s="62">
        <v>8</v>
      </c>
      <c r="BG14" s="143">
        <f>3+2+2</f>
        <v>7</v>
      </c>
      <c r="BH14" s="13">
        <f t="shared" si="13"/>
        <v>12</v>
      </c>
      <c r="BI14" s="62">
        <v>8</v>
      </c>
      <c r="BJ14" s="143">
        <f>3+2+3+1+1+2+2+1</f>
        <v>15</v>
      </c>
      <c r="BK14" s="13">
        <f t="shared" si="14"/>
        <v>5</v>
      </c>
      <c r="BL14" s="62"/>
      <c r="BM14" s="143"/>
      <c r="BN14" s="13">
        <f t="shared" si="15"/>
        <v>5</v>
      </c>
      <c r="BO14" s="62">
        <v>8</v>
      </c>
      <c r="BP14" s="143">
        <f>2+2+3+3</f>
        <v>10</v>
      </c>
      <c r="BQ14" s="13">
        <f t="shared" si="16"/>
        <v>3</v>
      </c>
      <c r="BR14" s="62">
        <v>16</v>
      </c>
      <c r="BS14" s="143">
        <f>3+3+2+2+2+2</f>
        <v>14</v>
      </c>
      <c r="BT14" s="13">
        <f t="shared" si="17"/>
        <v>5</v>
      </c>
      <c r="BU14" s="62"/>
      <c r="BV14" s="143"/>
      <c r="BW14" s="13">
        <f t="shared" si="18"/>
        <v>5</v>
      </c>
      <c r="BX14" s="62">
        <v>8</v>
      </c>
      <c r="BY14" s="143">
        <f>0.5+1+0.5+0.5+1+5</f>
        <v>8.5</v>
      </c>
      <c r="BZ14" s="13">
        <f t="shared" si="19"/>
        <v>4.5</v>
      </c>
      <c r="CA14" s="62">
        <v>8</v>
      </c>
      <c r="CB14" s="143">
        <f>1</f>
        <v>1</v>
      </c>
      <c r="CC14" s="13">
        <f t="shared" si="20"/>
        <v>11.5</v>
      </c>
      <c r="CD14" s="62"/>
      <c r="CE14" s="143">
        <f>1+1+1</f>
        <v>3</v>
      </c>
      <c r="CF14" s="13">
        <f t="shared" si="21"/>
        <v>8.5</v>
      </c>
      <c r="CG14" s="62"/>
      <c r="CH14" s="143"/>
      <c r="CI14" s="13">
        <f t="shared" si="31"/>
        <v>8.5</v>
      </c>
      <c r="CJ14" s="62">
        <v>16</v>
      </c>
      <c r="CK14" s="143">
        <f>2+2+1+1+1</f>
        <v>7</v>
      </c>
      <c r="CL14" s="13">
        <f t="shared" si="32"/>
        <v>17.5</v>
      </c>
      <c r="CM14" s="62"/>
      <c r="CN14" s="143"/>
      <c r="CO14" s="13">
        <f t="shared" si="22"/>
        <v>17.5</v>
      </c>
      <c r="CP14" s="62"/>
      <c r="CQ14" s="143"/>
      <c r="CR14" s="13">
        <f t="shared" si="33"/>
        <v>17.5</v>
      </c>
      <c r="CS14" s="61"/>
      <c r="CT14" s="143"/>
      <c r="CU14" s="14">
        <f t="shared" si="23"/>
        <v>17.5</v>
      </c>
      <c r="CV14" s="5">
        <f t="shared" si="24"/>
        <v>168</v>
      </c>
      <c r="CW14" s="4">
        <f t="shared" si="24"/>
        <v>155.5</v>
      </c>
      <c r="CX14" s="6">
        <f t="shared" si="25"/>
        <v>17.5</v>
      </c>
      <c r="CY14" s="162">
        <v>225</v>
      </c>
      <c r="CZ14" s="171">
        <f t="shared" si="26"/>
        <v>3937.5</v>
      </c>
      <c r="DB14" s="2">
        <f t="shared" si="34"/>
        <v>17.5</v>
      </c>
      <c r="DC14" s="61"/>
      <c r="DD14" s="143">
        <f>4+2+1+0.5+2.5</f>
        <v>10</v>
      </c>
      <c r="DE14" s="149">
        <f t="shared" si="35"/>
        <v>7.5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38</v>
      </c>
      <c r="G15" s="62">
        <f>90+20</f>
        <v>110</v>
      </c>
      <c r="H15" s="143">
        <f>1+8+8+6+4+5+20+9+8+6+7</f>
        <v>82</v>
      </c>
      <c r="I15" s="13">
        <f t="shared" si="0"/>
        <v>66</v>
      </c>
      <c r="J15" s="62"/>
      <c r="K15" s="143">
        <f>5</f>
        <v>5</v>
      </c>
      <c r="L15" s="13">
        <f t="shared" si="1"/>
        <v>61</v>
      </c>
      <c r="M15" s="62"/>
      <c r="N15" s="143">
        <f>1</f>
        <v>1</v>
      </c>
      <c r="O15" s="13">
        <f t="shared" si="2"/>
        <v>60</v>
      </c>
      <c r="P15" s="62"/>
      <c r="Q15" s="143">
        <f>20+4</f>
        <v>24</v>
      </c>
      <c r="R15" s="30">
        <f t="shared" si="3"/>
        <v>36</v>
      </c>
      <c r="S15" s="62">
        <v>45</v>
      </c>
      <c r="T15" s="143">
        <f>3+4+9</f>
        <v>16</v>
      </c>
      <c r="U15" s="13">
        <f t="shared" si="4"/>
        <v>65</v>
      </c>
      <c r="V15" s="62"/>
      <c r="W15" s="143"/>
      <c r="X15" s="13">
        <f t="shared" si="5"/>
        <v>65</v>
      </c>
      <c r="Y15" s="62">
        <v>45</v>
      </c>
      <c r="Z15" s="143">
        <f>12+30+9+8+3</f>
        <v>62</v>
      </c>
      <c r="AA15" s="13">
        <f t="shared" si="27"/>
        <v>48</v>
      </c>
      <c r="AB15" s="62">
        <v>45</v>
      </c>
      <c r="AC15" s="143">
        <f>12+8+4+7+20</f>
        <v>51</v>
      </c>
      <c r="AD15" s="13">
        <f t="shared" si="28"/>
        <v>42</v>
      </c>
      <c r="AE15" s="62"/>
      <c r="AF15" s="143"/>
      <c r="AG15" s="13">
        <f t="shared" si="29"/>
        <v>42</v>
      </c>
      <c r="AH15" s="62"/>
      <c r="AI15" s="143">
        <f>2+9+1</f>
        <v>12</v>
      </c>
      <c r="AJ15" s="13">
        <f t="shared" si="30"/>
        <v>30</v>
      </c>
      <c r="AK15" s="62">
        <v>45</v>
      </c>
      <c r="AL15" s="143">
        <f>7</f>
        <v>7</v>
      </c>
      <c r="AM15" s="13">
        <f t="shared" si="6"/>
        <v>68</v>
      </c>
      <c r="AN15" s="62"/>
      <c r="AO15" s="143">
        <f>7+4+3+4+8</f>
        <v>26</v>
      </c>
      <c r="AP15" s="13">
        <f t="shared" si="7"/>
        <v>42</v>
      </c>
      <c r="AQ15" s="62"/>
      <c r="AR15" s="143"/>
      <c r="AS15" s="13">
        <f t="shared" si="8"/>
        <v>42</v>
      </c>
      <c r="AT15" s="62">
        <v>45</v>
      </c>
      <c r="AU15" s="143">
        <f>20+8+4+1</f>
        <v>33</v>
      </c>
      <c r="AV15" s="13">
        <f t="shared" si="9"/>
        <v>54</v>
      </c>
      <c r="AW15" s="62">
        <v>45</v>
      </c>
      <c r="AX15" s="143">
        <f>3+7+20+5+10</f>
        <v>45</v>
      </c>
      <c r="AY15" s="13">
        <f t="shared" si="10"/>
        <v>54</v>
      </c>
      <c r="AZ15" s="62"/>
      <c r="BA15" s="143"/>
      <c r="BB15" s="13">
        <f t="shared" si="11"/>
        <v>54</v>
      </c>
      <c r="BC15" s="62"/>
      <c r="BD15" s="143">
        <f>1+1+2</f>
        <v>4</v>
      </c>
      <c r="BE15" s="13">
        <f t="shared" si="12"/>
        <v>50</v>
      </c>
      <c r="BF15" s="62">
        <v>13</v>
      </c>
      <c r="BG15" s="143">
        <f>3</f>
        <v>3</v>
      </c>
      <c r="BH15" s="13">
        <f t="shared" si="13"/>
        <v>60</v>
      </c>
      <c r="BI15" s="62">
        <v>45</v>
      </c>
      <c r="BJ15" s="143">
        <f>2+10+11</f>
        <v>23</v>
      </c>
      <c r="BK15" s="13">
        <f t="shared" si="14"/>
        <v>82</v>
      </c>
      <c r="BL15" s="62"/>
      <c r="BM15" s="143"/>
      <c r="BN15" s="13">
        <f t="shared" si="15"/>
        <v>82</v>
      </c>
      <c r="BO15" s="62"/>
      <c r="BP15" s="143">
        <f>4+5+20+14+10+3</f>
        <v>56</v>
      </c>
      <c r="BQ15" s="13">
        <f t="shared" si="16"/>
        <v>26</v>
      </c>
      <c r="BR15" s="62">
        <v>90</v>
      </c>
      <c r="BS15" s="143">
        <f>1+13+5+10+8+8+5+20+14+9+4</f>
        <v>97</v>
      </c>
      <c r="BT15" s="13">
        <f t="shared" si="17"/>
        <v>19</v>
      </c>
      <c r="BU15" s="62"/>
      <c r="BV15" s="143"/>
      <c r="BW15" s="13">
        <f t="shared" si="18"/>
        <v>19</v>
      </c>
      <c r="BX15" s="62">
        <v>45</v>
      </c>
      <c r="BY15" s="143">
        <f>10+1</f>
        <v>11</v>
      </c>
      <c r="BZ15" s="13">
        <f t="shared" si="19"/>
        <v>53</v>
      </c>
      <c r="CA15" s="62">
        <v>20</v>
      </c>
      <c r="CB15" s="143">
        <f>11</f>
        <v>11</v>
      </c>
      <c r="CC15" s="13">
        <f t="shared" si="20"/>
        <v>62</v>
      </c>
      <c r="CD15" s="62">
        <v>45</v>
      </c>
      <c r="CE15" s="143">
        <f>30+10+8+7+8+6</f>
        <v>69</v>
      </c>
      <c r="CF15" s="13">
        <f t="shared" si="21"/>
        <v>38</v>
      </c>
      <c r="CG15" s="62"/>
      <c r="CH15" s="143"/>
      <c r="CI15" s="13">
        <f t="shared" si="31"/>
        <v>38</v>
      </c>
      <c r="CJ15" s="62">
        <v>130</v>
      </c>
      <c r="CK15" s="143">
        <f>10+7+8+3+6</f>
        <v>34</v>
      </c>
      <c r="CL15" s="13">
        <f t="shared" si="32"/>
        <v>134</v>
      </c>
      <c r="CM15" s="62"/>
      <c r="CN15" s="143"/>
      <c r="CO15" s="13">
        <f t="shared" si="22"/>
        <v>134</v>
      </c>
      <c r="CP15" s="62"/>
      <c r="CQ15" s="143"/>
      <c r="CR15" s="13">
        <f t="shared" si="33"/>
        <v>134</v>
      </c>
      <c r="CS15" s="61"/>
      <c r="CT15" s="143"/>
      <c r="CU15" s="14">
        <f t="shared" si="23"/>
        <v>134</v>
      </c>
      <c r="CV15" s="5">
        <f t="shared" si="24"/>
        <v>768</v>
      </c>
      <c r="CW15" s="4">
        <f t="shared" si="24"/>
        <v>672</v>
      </c>
      <c r="CX15" s="6">
        <f t="shared" si="25"/>
        <v>134</v>
      </c>
      <c r="CY15" s="162">
        <v>45</v>
      </c>
      <c r="CZ15" s="171">
        <f t="shared" si="26"/>
        <v>6030</v>
      </c>
      <c r="DB15" s="2">
        <f t="shared" si="34"/>
        <v>134</v>
      </c>
      <c r="DC15" s="61"/>
      <c r="DD15" s="143">
        <f>20+13+8+13+3+6+6+5</f>
        <v>74</v>
      </c>
      <c r="DE15" s="149">
        <f t="shared" si="35"/>
        <v>60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4</v>
      </c>
      <c r="E16" s="34" t="s">
        <v>41</v>
      </c>
      <c r="F16" s="14">
        <v>4</v>
      </c>
      <c r="G16" s="176">
        <v>40</v>
      </c>
      <c r="H16" s="143">
        <f>2+11+9+7+2+3+4</f>
        <v>38</v>
      </c>
      <c r="I16" s="13">
        <f t="shared" si="0"/>
        <v>6</v>
      </c>
      <c r="J16" s="176"/>
      <c r="K16" s="143"/>
      <c r="L16" s="13">
        <f t="shared" si="1"/>
        <v>6</v>
      </c>
      <c r="M16" s="176">
        <v>5</v>
      </c>
      <c r="N16" s="143">
        <f>2+2+2+1</f>
        <v>7</v>
      </c>
      <c r="O16" s="13">
        <f t="shared" si="2"/>
        <v>4</v>
      </c>
      <c r="P16" s="176">
        <v>22</v>
      </c>
      <c r="Q16" s="143">
        <f>2+4+12</f>
        <v>18</v>
      </c>
      <c r="R16" s="30">
        <f t="shared" si="3"/>
        <v>8</v>
      </c>
      <c r="S16" s="176">
        <v>36</v>
      </c>
      <c r="T16" s="143">
        <f>6+8+7+4+13</f>
        <v>38</v>
      </c>
      <c r="U16" s="13">
        <f t="shared" si="4"/>
        <v>6</v>
      </c>
      <c r="V16" s="176"/>
      <c r="W16" s="143"/>
      <c r="X16" s="13">
        <f t="shared" si="5"/>
        <v>6</v>
      </c>
      <c r="Y16" s="176">
        <v>25</v>
      </c>
      <c r="Z16" s="143">
        <f>4+6+7+5+4</f>
        <v>26</v>
      </c>
      <c r="AA16" s="13">
        <f t="shared" si="27"/>
        <v>5</v>
      </c>
      <c r="AB16" s="176">
        <v>15</v>
      </c>
      <c r="AC16" s="143">
        <f>2+4+4+3</f>
        <v>13</v>
      </c>
      <c r="AD16" s="13">
        <f t="shared" si="28"/>
        <v>7</v>
      </c>
      <c r="AE16" s="176"/>
      <c r="AF16" s="143"/>
      <c r="AG16" s="13">
        <f t="shared" si="29"/>
        <v>7</v>
      </c>
      <c r="AH16" s="176">
        <v>1</v>
      </c>
      <c r="AI16" s="143">
        <f>2+1+1</f>
        <v>4</v>
      </c>
      <c r="AJ16" s="13">
        <f t="shared" si="30"/>
        <v>4</v>
      </c>
      <c r="AK16" s="176">
        <f>-16+60</f>
        <v>44</v>
      </c>
      <c r="AL16" s="143">
        <f>4+6</f>
        <v>10</v>
      </c>
      <c r="AM16" s="13">
        <f t="shared" si="6"/>
        <v>38</v>
      </c>
      <c r="AN16" s="176">
        <v>4</v>
      </c>
      <c r="AO16" s="143">
        <f>22</f>
        <v>22</v>
      </c>
      <c r="AP16" s="13">
        <f t="shared" si="7"/>
        <v>20</v>
      </c>
      <c r="AQ16" s="176"/>
      <c r="AR16" s="143"/>
      <c r="AS16" s="13">
        <f t="shared" si="8"/>
        <v>20</v>
      </c>
      <c r="AT16" s="176">
        <f>30+10</f>
        <v>40</v>
      </c>
      <c r="AU16" s="143">
        <f>10+3+3+2+2+4+18</f>
        <v>42</v>
      </c>
      <c r="AV16" s="13">
        <f t="shared" si="9"/>
        <v>18</v>
      </c>
      <c r="AW16" s="176">
        <v>36</v>
      </c>
      <c r="AX16" s="143">
        <f>18+4+8+4</f>
        <v>34</v>
      </c>
      <c r="AY16" s="13">
        <f t="shared" si="10"/>
        <v>20</v>
      </c>
      <c r="AZ16" s="176"/>
      <c r="BA16" s="143"/>
      <c r="BB16" s="13">
        <f t="shared" si="11"/>
        <v>20</v>
      </c>
      <c r="BC16" s="176">
        <v>8</v>
      </c>
      <c r="BD16" s="143">
        <f>20+2+2</f>
        <v>24</v>
      </c>
      <c r="BE16" s="13">
        <f t="shared" si="12"/>
        <v>4</v>
      </c>
      <c r="BF16" s="176">
        <f>-3+30+3</f>
        <v>30</v>
      </c>
      <c r="BG16" s="143">
        <f>4+12+4+2</f>
        <v>22</v>
      </c>
      <c r="BH16" s="13">
        <f t="shared" si="13"/>
        <v>12</v>
      </c>
      <c r="BI16" s="176">
        <f>-2+41</f>
        <v>39</v>
      </c>
      <c r="BJ16" s="143">
        <v>43</v>
      </c>
      <c r="BK16" s="13">
        <f t="shared" si="14"/>
        <v>8</v>
      </c>
      <c r="BL16" s="176"/>
      <c r="BM16" s="143"/>
      <c r="BN16" s="13">
        <f t="shared" si="15"/>
        <v>8</v>
      </c>
      <c r="BO16" s="176">
        <v>41</v>
      </c>
      <c r="BP16" s="143">
        <f>10+6+8+4+5+4+6</f>
        <v>43</v>
      </c>
      <c r="BQ16" s="13">
        <f t="shared" si="16"/>
        <v>6</v>
      </c>
      <c r="BR16" s="176">
        <v>16</v>
      </c>
      <c r="BS16" s="143">
        <f>6+8</f>
        <v>14</v>
      </c>
      <c r="BT16" s="13">
        <f t="shared" si="17"/>
        <v>8</v>
      </c>
      <c r="BU16" s="176">
        <v>4</v>
      </c>
      <c r="BV16" s="143"/>
      <c r="BW16" s="13">
        <f t="shared" si="18"/>
        <v>12</v>
      </c>
      <c r="BX16" s="176">
        <f>-4-8+20+10</f>
        <v>18</v>
      </c>
      <c r="BY16" s="143">
        <f>12+1+1</f>
        <v>14</v>
      </c>
      <c r="BZ16" s="13">
        <f t="shared" si="19"/>
        <v>16</v>
      </c>
      <c r="CA16" s="176">
        <v>30</v>
      </c>
      <c r="CB16" s="195">
        <f>8</f>
        <v>8</v>
      </c>
      <c r="CC16" s="13">
        <f t="shared" si="20"/>
        <v>38</v>
      </c>
      <c r="CD16" s="176">
        <v>20</v>
      </c>
      <c r="CE16" s="143">
        <f>6+12+3+4+3</f>
        <v>28</v>
      </c>
      <c r="CF16" s="13">
        <f t="shared" si="21"/>
        <v>30</v>
      </c>
      <c r="CG16" s="176"/>
      <c r="CH16" s="143"/>
      <c r="CI16" s="13">
        <f t="shared" si="31"/>
        <v>30</v>
      </c>
      <c r="CJ16" s="176">
        <v>40</v>
      </c>
      <c r="CK16" s="143">
        <f>26+8+4+5+2</f>
        <v>45</v>
      </c>
      <c r="CL16" s="13">
        <f t="shared" si="32"/>
        <v>25</v>
      </c>
      <c r="CM16" s="176"/>
      <c r="CN16" s="143">
        <f>16</f>
        <v>16</v>
      </c>
      <c r="CO16" s="13">
        <f t="shared" si="22"/>
        <v>9</v>
      </c>
      <c r="CP16" s="63">
        <v>28</v>
      </c>
      <c r="CQ16" s="143"/>
      <c r="CR16" s="13">
        <f t="shared" si="33"/>
        <v>37</v>
      </c>
      <c r="CS16" s="63"/>
      <c r="CT16" s="143"/>
      <c r="CU16" s="14">
        <f t="shared" si="23"/>
        <v>37</v>
      </c>
      <c r="CV16" s="5">
        <f t="shared" si="24"/>
        <v>542</v>
      </c>
      <c r="CW16" s="4">
        <f t="shared" si="24"/>
        <v>509</v>
      </c>
      <c r="CX16" s="6">
        <f t="shared" si="25"/>
        <v>37</v>
      </c>
      <c r="CY16" s="191">
        <v>95</v>
      </c>
      <c r="CZ16" s="171">
        <f t="shared" si="26"/>
        <v>3515</v>
      </c>
      <c r="DB16" s="2">
        <f t="shared" si="34"/>
        <v>37</v>
      </c>
      <c r="DC16" s="63"/>
      <c r="DD16" s="143">
        <f>4+3</f>
        <v>7</v>
      </c>
      <c r="DE16" s="149">
        <f t="shared" si="35"/>
        <v>30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19</v>
      </c>
      <c r="G17" s="62">
        <f>-28+15+40</f>
        <v>27</v>
      </c>
      <c r="H17" s="143">
        <f>4+15</f>
        <v>19</v>
      </c>
      <c r="I17" s="13">
        <f t="shared" si="0"/>
        <v>27</v>
      </c>
      <c r="J17" s="62"/>
      <c r="K17" s="143"/>
      <c r="L17" s="13">
        <f t="shared" si="1"/>
        <v>27</v>
      </c>
      <c r="M17" s="62">
        <f>15+20</f>
        <v>35</v>
      </c>
      <c r="N17" s="143">
        <f>3+20</f>
        <v>23</v>
      </c>
      <c r="O17" s="13">
        <f t="shared" si="2"/>
        <v>39</v>
      </c>
      <c r="P17" s="62">
        <f>15+15</f>
        <v>30</v>
      </c>
      <c r="Q17" s="143">
        <f>3+17</f>
        <v>20</v>
      </c>
      <c r="R17" s="30">
        <f t="shared" si="3"/>
        <v>49</v>
      </c>
      <c r="S17" s="62">
        <f>-13+15+20</f>
        <v>22</v>
      </c>
      <c r="T17" s="143">
        <f>5+44-3</f>
        <v>46</v>
      </c>
      <c r="U17" s="13">
        <f t="shared" si="4"/>
        <v>25</v>
      </c>
      <c r="V17" s="62"/>
      <c r="W17" s="143"/>
      <c r="X17" s="13">
        <f t="shared" si="5"/>
        <v>25</v>
      </c>
      <c r="Y17" s="62">
        <f>-12+15+40</f>
        <v>43</v>
      </c>
      <c r="Z17" s="143">
        <f>22+3</f>
        <v>25</v>
      </c>
      <c r="AA17" s="13">
        <f t="shared" si="27"/>
        <v>43</v>
      </c>
      <c r="AB17" s="62">
        <f>-5+15+30</f>
        <v>40</v>
      </c>
      <c r="AC17" s="143">
        <f>5+38</f>
        <v>43</v>
      </c>
      <c r="AD17" s="13">
        <f t="shared" si="28"/>
        <v>40</v>
      </c>
      <c r="AE17" s="62"/>
      <c r="AF17" s="143"/>
      <c r="AG17" s="13">
        <f t="shared" si="29"/>
        <v>40</v>
      </c>
      <c r="AH17" s="62">
        <f>15+20</f>
        <v>35</v>
      </c>
      <c r="AI17" s="143">
        <f>4+23</f>
        <v>27</v>
      </c>
      <c r="AJ17" s="13">
        <f t="shared" si="30"/>
        <v>48</v>
      </c>
      <c r="AK17" s="62">
        <f>15+40</f>
        <v>55</v>
      </c>
      <c r="AL17" s="143">
        <f>6+33</f>
        <v>39</v>
      </c>
      <c r="AM17" s="13">
        <f t="shared" si="6"/>
        <v>64</v>
      </c>
      <c r="AN17" s="62">
        <f>15+20</f>
        <v>35</v>
      </c>
      <c r="AO17" s="143">
        <f>6+53</f>
        <v>59</v>
      </c>
      <c r="AP17" s="13">
        <f t="shared" si="7"/>
        <v>40</v>
      </c>
      <c r="AQ17" s="62"/>
      <c r="AR17" s="143"/>
      <c r="AS17" s="13">
        <f t="shared" si="8"/>
        <v>40</v>
      </c>
      <c r="AT17" s="62">
        <f>15+30</f>
        <v>45</v>
      </c>
      <c r="AU17" s="143">
        <f>4+25</f>
        <v>29</v>
      </c>
      <c r="AV17" s="13">
        <f t="shared" si="9"/>
        <v>56</v>
      </c>
      <c r="AW17" s="62">
        <f>15+10</f>
        <v>25</v>
      </c>
      <c r="AX17" s="143">
        <f>5+38</f>
        <v>43</v>
      </c>
      <c r="AY17" s="13">
        <f t="shared" si="10"/>
        <v>38</v>
      </c>
      <c r="AZ17" s="62"/>
      <c r="BA17" s="143"/>
      <c r="BB17" s="13">
        <f t="shared" si="11"/>
        <v>38</v>
      </c>
      <c r="BC17" s="62">
        <v>15</v>
      </c>
      <c r="BD17" s="143">
        <f>2+16</f>
        <v>18</v>
      </c>
      <c r="BE17" s="13">
        <f t="shared" si="12"/>
        <v>35</v>
      </c>
      <c r="BF17" s="62">
        <f>15+20</f>
        <v>35</v>
      </c>
      <c r="BG17" s="143">
        <v>14</v>
      </c>
      <c r="BH17" s="13">
        <f t="shared" si="13"/>
        <v>56</v>
      </c>
      <c r="BI17" s="62">
        <f>-13+15+30</f>
        <v>32</v>
      </c>
      <c r="BJ17" s="143">
        <f>6+50</f>
        <v>56</v>
      </c>
      <c r="BK17" s="13">
        <f t="shared" si="14"/>
        <v>32</v>
      </c>
      <c r="BL17" s="62"/>
      <c r="BM17" s="143"/>
      <c r="BN17" s="13">
        <f t="shared" si="15"/>
        <v>32</v>
      </c>
      <c r="BO17" s="62">
        <f>40-40</f>
        <v>0</v>
      </c>
      <c r="BP17" s="143">
        <f>3+24</f>
        <v>27</v>
      </c>
      <c r="BQ17" s="13">
        <f t="shared" si="16"/>
        <v>5</v>
      </c>
      <c r="BR17" s="62">
        <f>-22+15+15+81</f>
        <v>89</v>
      </c>
      <c r="BS17" s="143">
        <f>2+3+4</f>
        <v>9</v>
      </c>
      <c r="BT17" s="13">
        <f t="shared" si="17"/>
        <v>85</v>
      </c>
      <c r="BU17" s="62"/>
      <c r="BV17" s="143"/>
      <c r="BW17" s="13">
        <f t="shared" si="18"/>
        <v>85</v>
      </c>
      <c r="BX17" s="62">
        <v>15</v>
      </c>
      <c r="BY17" s="143">
        <f>3+30</f>
        <v>33</v>
      </c>
      <c r="BZ17" s="13">
        <f t="shared" si="19"/>
        <v>67</v>
      </c>
      <c r="CA17" s="62">
        <f>15+15</f>
        <v>30</v>
      </c>
      <c r="CB17" s="143">
        <f>3+19</f>
        <v>22</v>
      </c>
      <c r="CC17" s="13">
        <f t="shared" si="20"/>
        <v>75</v>
      </c>
      <c r="CD17" s="62">
        <f>15+20</f>
        <v>35</v>
      </c>
      <c r="CE17" s="143">
        <f>6+41</f>
        <v>47</v>
      </c>
      <c r="CF17" s="13">
        <f t="shared" si="21"/>
        <v>63</v>
      </c>
      <c r="CG17" s="62"/>
      <c r="CH17" s="143"/>
      <c r="CI17" s="13">
        <f t="shared" si="31"/>
        <v>63</v>
      </c>
      <c r="CJ17" s="62">
        <f>15+10</f>
        <v>25</v>
      </c>
      <c r="CK17" s="143">
        <f>3+37</f>
        <v>40</v>
      </c>
      <c r="CL17" s="13">
        <f t="shared" si="32"/>
        <v>48</v>
      </c>
      <c r="CM17" s="62"/>
      <c r="CN17" s="143">
        <f>10+18+9</f>
        <v>37</v>
      </c>
      <c r="CO17" s="13">
        <f t="shared" si="22"/>
        <v>11</v>
      </c>
      <c r="CP17" s="62">
        <f>15+20</f>
        <v>35</v>
      </c>
      <c r="CQ17" s="143"/>
      <c r="CR17" s="13">
        <f t="shared" si="33"/>
        <v>46</v>
      </c>
      <c r="CS17" s="62"/>
      <c r="CT17" s="143"/>
      <c r="CU17" s="14">
        <f t="shared" si="23"/>
        <v>46</v>
      </c>
      <c r="CV17" s="5">
        <f t="shared" si="24"/>
        <v>703</v>
      </c>
      <c r="CW17" s="4">
        <f t="shared" si="24"/>
        <v>676</v>
      </c>
      <c r="CX17" s="6">
        <f t="shared" si="25"/>
        <v>46</v>
      </c>
      <c r="CY17" s="162">
        <v>200</v>
      </c>
      <c r="CZ17" s="171">
        <f t="shared" si="26"/>
        <v>9200</v>
      </c>
      <c r="DB17" s="2">
        <f t="shared" si="34"/>
        <v>46</v>
      </c>
      <c r="DC17" s="61"/>
      <c r="DD17" s="143"/>
      <c r="DE17" s="149">
        <f t="shared" si="35"/>
        <v>46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4.9999999999999947</v>
      </c>
      <c r="G18" s="62"/>
      <c r="H18" s="143"/>
      <c r="I18" s="13">
        <f t="shared" si="0"/>
        <v>4.9999999999999947</v>
      </c>
      <c r="J18" s="62"/>
      <c r="K18" s="143"/>
      <c r="L18" s="13">
        <f t="shared" si="1"/>
        <v>4.9999999999999947</v>
      </c>
      <c r="M18" s="62"/>
      <c r="N18" s="143">
        <f>2.8+1.1</f>
        <v>3.9</v>
      </c>
      <c r="O18" s="13">
        <f t="shared" si="2"/>
        <v>1.0999999999999948</v>
      </c>
      <c r="P18" s="62">
        <v>4</v>
      </c>
      <c r="Q18" s="143">
        <f>2.3</f>
        <v>2.2999999999999998</v>
      </c>
      <c r="R18" s="30">
        <f t="shared" si="3"/>
        <v>2.7999999999999945</v>
      </c>
      <c r="S18" s="62">
        <v>4</v>
      </c>
      <c r="T18" s="143">
        <v>5.2</v>
      </c>
      <c r="U18" s="13">
        <f t="shared" si="4"/>
        <v>1.5999999999999943</v>
      </c>
      <c r="V18" s="62"/>
      <c r="W18" s="143"/>
      <c r="X18" s="13">
        <f t="shared" si="5"/>
        <v>1.5999999999999943</v>
      </c>
      <c r="Y18" s="62">
        <v>4</v>
      </c>
      <c r="Z18" s="143">
        <v>2.8</v>
      </c>
      <c r="AA18" s="13">
        <f t="shared" si="27"/>
        <v>2.7999999999999945</v>
      </c>
      <c r="AB18" s="62">
        <v>20</v>
      </c>
      <c r="AC18" s="143">
        <f>8.2+5+4.2+3.7</f>
        <v>21.099999999999998</v>
      </c>
      <c r="AD18" s="13">
        <f t="shared" si="28"/>
        <v>1.6999999999999957</v>
      </c>
      <c r="AE18" s="62"/>
      <c r="AF18" s="143"/>
      <c r="AG18" s="13">
        <f t="shared" si="29"/>
        <v>1.6999999999999957</v>
      </c>
      <c r="AH18" s="62">
        <v>5</v>
      </c>
      <c r="AI18" s="143">
        <f>1</f>
        <v>1</v>
      </c>
      <c r="AJ18" s="13">
        <f t="shared" si="30"/>
        <v>5.6999999999999957</v>
      </c>
      <c r="AK18" s="62"/>
      <c r="AL18" s="143"/>
      <c r="AM18" s="13">
        <f t="shared" si="6"/>
        <v>5.6999999999999957</v>
      </c>
      <c r="AN18" s="62"/>
      <c r="AO18" s="143"/>
      <c r="AP18" s="13">
        <f t="shared" si="7"/>
        <v>5.6999999999999957</v>
      </c>
      <c r="AQ18" s="62"/>
      <c r="AR18" s="143"/>
      <c r="AS18" s="13">
        <f t="shared" si="8"/>
        <v>5.6999999999999957</v>
      </c>
      <c r="AT18" s="62"/>
      <c r="AU18" s="143"/>
      <c r="AV18" s="13">
        <f t="shared" si="9"/>
        <v>5.6999999999999957</v>
      </c>
      <c r="AW18" s="62"/>
      <c r="AX18" s="143"/>
      <c r="AY18" s="13">
        <f t="shared" si="10"/>
        <v>5.6999999999999957</v>
      </c>
      <c r="AZ18" s="62"/>
      <c r="BA18" s="143"/>
      <c r="BB18" s="13">
        <f t="shared" si="11"/>
        <v>5.6999999999999957</v>
      </c>
      <c r="BC18" s="62"/>
      <c r="BD18" s="143">
        <f>3.4+1.1</f>
        <v>4.5</v>
      </c>
      <c r="BE18" s="13">
        <f t="shared" si="12"/>
        <v>1.1999999999999957</v>
      </c>
      <c r="BF18" s="62"/>
      <c r="BG18" s="143"/>
      <c r="BH18" s="13">
        <f t="shared" si="13"/>
        <v>1.1999999999999957</v>
      </c>
      <c r="BI18" s="62"/>
      <c r="BJ18" s="143"/>
      <c r="BK18" s="13">
        <f t="shared" si="14"/>
        <v>1.1999999999999957</v>
      </c>
      <c r="BL18" s="62"/>
      <c r="BM18" s="143"/>
      <c r="BN18" s="13">
        <f t="shared" si="15"/>
        <v>1.1999999999999957</v>
      </c>
      <c r="BO18" s="62">
        <v>4</v>
      </c>
      <c r="BP18" s="143">
        <f>2.6</f>
        <v>2.6</v>
      </c>
      <c r="BQ18" s="13">
        <f t="shared" si="16"/>
        <v>2.5999999999999956</v>
      </c>
      <c r="BR18" s="62">
        <v>10</v>
      </c>
      <c r="BS18" s="143">
        <f>8.6+4</f>
        <v>12.6</v>
      </c>
      <c r="BT18" s="13">
        <f t="shared" si="17"/>
        <v>0</v>
      </c>
      <c r="BU18" s="62"/>
      <c r="BV18" s="143"/>
      <c r="BW18" s="13">
        <f t="shared" si="18"/>
        <v>0</v>
      </c>
      <c r="BX18" s="62">
        <v>4</v>
      </c>
      <c r="BY18" s="143">
        <f>1.1</f>
        <v>1.1000000000000001</v>
      </c>
      <c r="BZ18" s="13">
        <f t="shared" si="19"/>
        <v>2.9</v>
      </c>
      <c r="CA18" s="62"/>
      <c r="CB18" s="143"/>
      <c r="CC18" s="13">
        <f t="shared" si="20"/>
        <v>2.9</v>
      </c>
      <c r="CD18" s="62">
        <v>4</v>
      </c>
      <c r="CE18" s="143"/>
      <c r="CF18" s="13">
        <f t="shared" si="21"/>
        <v>6.9</v>
      </c>
      <c r="CG18" s="62"/>
      <c r="CH18" s="143"/>
      <c r="CI18" s="13">
        <f t="shared" si="31"/>
        <v>6.9</v>
      </c>
      <c r="CJ18" s="62">
        <v>2</v>
      </c>
      <c r="CK18" s="143">
        <f>1</f>
        <v>1</v>
      </c>
      <c r="CL18" s="13">
        <f t="shared" si="32"/>
        <v>7.9</v>
      </c>
      <c r="CM18" s="62"/>
      <c r="CN18" s="143"/>
      <c r="CO18" s="13">
        <f t="shared" si="22"/>
        <v>7.9</v>
      </c>
      <c r="CP18" s="62"/>
      <c r="CQ18" s="143"/>
      <c r="CR18" s="13">
        <f t="shared" si="33"/>
        <v>7.9</v>
      </c>
      <c r="CS18" s="62"/>
      <c r="CT18" s="143"/>
      <c r="CU18" s="14">
        <f t="shared" si="23"/>
        <v>7.9</v>
      </c>
      <c r="CV18" s="5">
        <f t="shared" si="24"/>
        <v>61</v>
      </c>
      <c r="CW18" s="4">
        <f t="shared" si="24"/>
        <v>58.1</v>
      </c>
      <c r="CX18" s="6">
        <f t="shared" si="25"/>
        <v>7.9</v>
      </c>
      <c r="CY18" s="162">
        <v>450</v>
      </c>
      <c r="CZ18" s="171">
        <f t="shared" si="26"/>
        <v>3555</v>
      </c>
      <c r="DB18" s="2">
        <f t="shared" si="34"/>
        <v>7.9</v>
      </c>
      <c r="DC18" s="61"/>
      <c r="DD18" s="143">
        <f>1.5</f>
        <v>1.5</v>
      </c>
      <c r="DE18" s="149">
        <f t="shared" si="35"/>
        <v>6.4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2.9999999999999947</v>
      </c>
      <c r="G19" s="62"/>
      <c r="H19" s="143">
        <v>2</v>
      </c>
      <c r="I19" s="13">
        <f t="shared" si="0"/>
        <v>0.99999999999999467</v>
      </c>
      <c r="J19" s="62"/>
      <c r="K19" s="143"/>
      <c r="L19" s="13">
        <f t="shared" si="1"/>
        <v>0.99999999999999467</v>
      </c>
      <c r="M19" s="62"/>
      <c r="N19" s="143"/>
      <c r="O19" s="13">
        <f t="shared" si="2"/>
        <v>0.99999999999999467</v>
      </c>
      <c r="P19" s="62"/>
      <c r="Q19" s="143"/>
      <c r="R19" s="30">
        <f t="shared" si="3"/>
        <v>0.99999999999999467</v>
      </c>
      <c r="S19" s="62">
        <v>4</v>
      </c>
      <c r="T19" s="143">
        <f>1.5</f>
        <v>1.5</v>
      </c>
      <c r="U19" s="13">
        <f t="shared" si="4"/>
        <v>3.4999999999999947</v>
      </c>
      <c r="V19" s="62"/>
      <c r="W19" s="143"/>
      <c r="X19" s="30">
        <f t="shared" si="5"/>
        <v>3.4999999999999947</v>
      </c>
      <c r="Y19" s="62">
        <v>4</v>
      </c>
      <c r="Z19" s="143">
        <v>5.6</v>
      </c>
      <c r="AA19" s="13">
        <f t="shared" si="27"/>
        <v>1.899999999999995</v>
      </c>
      <c r="AB19" s="62">
        <v>4</v>
      </c>
      <c r="AC19" s="143">
        <f>2.5</f>
        <v>2.5</v>
      </c>
      <c r="AD19" s="13">
        <f t="shared" si="28"/>
        <v>3.399999999999995</v>
      </c>
      <c r="AE19" s="62"/>
      <c r="AF19" s="143"/>
      <c r="AG19" s="13">
        <f t="shared" si="29"/>
        <v>3.399999999999995</v>
      </c>
      <c r="AH19" s="62">
        <v>3</v>
      </c>
      <c r="AI19" s="143">
        <f>0.3</f>
        <v>0.3</v>
      </c>
      <c r="AJ19" s="13">
        <f t="shared" si="30"/>
        <v>6.0999999999999952</v>
      </c>
      <c r="AK19" s="62">
        <v>5</v>
      </c>
      <c r="AL19" s="143">
        <f>5</f>
        <v>5</v>
      </c>
      <c r="AM19" s="13">
        <f t="shared" si="6"/>
        <v>6.0999999999999943</v>
      </c>
      <c r="AN19" s="62"/>
      <c r="AO19" s="143"/>
      <c r="AP19" s="13">
        <f t="shared" si="7"/>
        <v>6.0999999999999943</v>
      </c>
      <c r="AQ19" s="62"/>
      <c r="AR19" s="143"/>
      <c r="AS19" s="13">
        <f t="shared" si="8"/>
        <v>6.0999999999999943</v>
      </c>
      <c r="AT19" s="62"/>
      <c r="AU19" s="143"/>
      <c r="AV19" s="13">
        <f t="shared" si="9"/>
        <v>6.0999999999999943</v>
      </c>
      <c r="AW19" s="62"/>
      <c r="AX19" s="143">
        <v>0.3</v>
      </c>
      <c r="AY19" s="13">
        <f t="shared" si="10"/>
        <v>5.7999999999999945</v>
      </c>
      <c r="AZ19" s="62"/>
      <c r="BA19" s="143"/>
      <c r="BB19" s="13">
        <f t="shared" si="11"/>
        <v>5.7999999999999945</v>
      </c>
      <c r="BC19" s="62"/>
      <c r="BD19" s="143"/>
      <c r="BE19" s="13">
        <f t="shared" si="12"/>
        <v>5.7999999999999945</v>
      </c>
      <c r="BF19" s="62"/>
      <c r="BG19" s="143"/>
      <c r="BH19" s="13">
        <f t="shared" si="13"/>
        <v>5.7999999999999945</v>
      </c>
      <c r="BI19" s="62"/>
      <c r="BJ19" s="143">
        <f>0.3</f>
        <v>0.3</v>
      </c>
      <c r="BK19" s="13">
        <f t="shared" si="14"/>
        <v>5.4999999999999947</v>
      </c>
      <c r="BL19" s="62"/>
      <c r="BM19" s="143"/>
      <c r="BN19" s="13">
        <f t="shared" si="15"/>
        <v>5.4999999999999947</v>
      </c>
      <c r="BO19" s="62"/>
      <c r="BP19" s="143"/>
      <c r="BQ19" s="13">
        <f t="shared" si="16"/>
        <v>5.4999999999999947</v>
      </c>
      <c r="BR19" s="62"/>
      <c r="BS19" s="143">
        <f>2.5</f>
        <v>2.5</v>
      </c>
      <c r="BT19" s="13">
        <f t="shared" si="17"/>
        <v>2.9999999999999947</v>
      </c>
      <c r="BU19" s="62"/>
      <c r="BV19" s="143"/>
      <c r="BW19" s="13">
        <f t="shared" si="18"/>
        <v>2.9999999999999947</v>
      </c>
      <c r="BX19" s="62"/>
      <c r="BY19" s="143">
        <f>0.3</f>
        <v>0.3</v>
      </c>
      <c r="BZ19" s="13">
        <f t="shared" si="19"/>
        <v>2.6999999999999948</v>
      </c>
      <c r="CA19" s="62"/>
      <c r="CB19" s="143"/>
      <c r="CC19" s="13">
        <f t="shared" si="20"/>
        <v>2.6999999999999948</v>
      </c>
      <c r="CD19" s="62"/>
      <c r="CE19" s="143">
        <f>2.3</f>
        <v>2.2999999999999998</v>
      </c>
      <c r="CF19" s="13">
        <f t="shared" si="21"/>
        <v>0.39999999999999503</v>
      </c>
      <c r="CG19" s="62"/>
      <c r="CH19" s="143"/>
      <c r="CI19" s="13">
        <f t="shared" si="31"/>
        <v>0.39999999999999503</v>
      </c>
      <c r="CJ19" s="62">
        <v>4</v>
      </c>
      <c r="CK19" s="143">
        <f>2.5</f>
        <v>2.5</v>
      </c>
      <c r="CL19" s="13">
        <f t="shared" si="32"/>
        <v>1.899999999999995</v>
      </c>
      <c r="CM19" s="62"/>
      <c r="CN19" s="143"/>
      <c r="CO19" s="13">
        <f t="shared" si="22"/>
        <v>1.899999999999995</v>
      </c>
      <c r="CP19" s="62"/>
      <c r="CQ19" s="143"/>
      <c r="CR19" s="13">
        <f t="shared" si="33"/>
        <v>1.899999999999995</v>
      </c>
      <c r="CS19" s="62"/>
      <c r="CT19" s="143"/>
      <c r="CU19" s="14">
        <f t="shared" si="23"/>
        <v>1.899999999999995</v>
      </c>
      <c r="CV19" s="5">
        <f t="shared" si="24"/>
        <v>24</v>
      </c>
      <c r="CW19" s="4">
        <f t="shared" si="24"/>
        <v>25.1</v>
      </c>
      <c r="CX19" s="6">
        <f t="shared" si="25"/>
        <v>1.899999999999995</v>
      </c>
      <c r="CY19" s="162">
        <v>500</v>
      </c>
      <c r="CZ19" s="171">
        <f t="shared" si="26"/>
        <v>949.9999999999975</v>
      </c>
      <c r="DB19" s="2">
        <f t="shared" si="34"/>
        <v>1.899999999999995</v>
      </c>
      <c r="DC19" s="61"/>
      <c r="DD19" s="143"/>
      <c r="DE19" s="149">
        <f t="shared" si="35"/>
        <v>1.899999999999995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0</v>
      </c>
      <c r="G21" s="62">
        <f>-2+4</f>
        <v>2</v>
      </c>
      <c r="H21" s="143"/>
      <c r="I21" s="13">
        <f t="shared" si="0"/>
        <v>2</v>
      </c>
      <c r="J21" s="62"/>
      <c r="K21" s="143"/>
      <c r="L21" s="13">
        <f t="shared" si="1"/>
        <v>2</v>
      </c>
      <c r="M21" s="62">
        <v>2</v>
      </c>
      <c r="N21" s="143">
        <v>2</v>
      </c>
      <c r="O21" s="13">
        <f t="shared" si="2"/>
        <v>2</v>
      </c>
      <c r="P21" s="62">
        <f>-2+4</f>
        <v>2</v>
      </c>
      <c r="Q21" s="143">
        <v>2</v>
      </c>
      <c r="R21" s="30">
        <f t="shared" si="3"/>
        <v>2</v>
      </c>
      <c r="S21" s="62">
        <f>7-5</f>
        <v>2</v>
      </c>
      <c r="T21" s="143">
        <f>2</f>
        <v>2</v>
      </c>
      <c r="U21" s="13">
        <f t="shared" si="4"/>
        <v>2</v>
      </c>
      <c r="V21" s="62"/>
      <c r="W21" s="143"/>
      <c r="X21" s="13">
        <f t="shared" si="5"/>
        <v>2</v>
      </c>
      <c r="Y21" s="62">
        <f>-1+6</f>
        <v>5</v>
      </c>
      <c r="Z21" s="143">
        <v>2</v>
      </c>
      <c r="AA21" s="13">
        <f t="shared" si="27"/>
        <v>5</v>
      </c>
      <c r="AB21" s="62"/>
      <c r="AC21" s="143">
        <v>1</v>
      </c>
      <c r="AD21" s="13">
        <f t="shared" si="28"/>
        <v>4</v>
      </c>
      <c r="AE21" s="62"/>
      <c r="AF21" s="143"/>
      <c r="AG21" s="13">
        <f t="shared" si="29"/>
        <v>4</v>
      </c>
      <c r="AH21" s="62"/>
      <c r="AI21" s="143"/>
      <c r="AJ21" s="13">
        <f t="shared" si="30"/>
        <v>4</v>
      </c>
      <c r="AK21" s="62">
        <v>2</v>
      </c>
      <c r="AL21" s="143">
        <f>2</f>
        <v>2</v>
      </c>
      <c r="AM21" s="13">
        <f t="shared" si="6"/>
        <v>4</v>
      </c>
      <c r="AN21" s="62">
        <f>-4+7</f>
        <v>3</v>
      </c>
      <c r="AO21" s="143">
        <f>2+2+1</f>
        <v>5</v>
      </c>
      <c r="AP21" s="13">
        <f t="shared" si="7"/>
        <v>2</v>
      </c>
      <c r="AQ21" s="62"/>
      <c r="AR21" s="143"/>
      <c r="AS21" s="13">
        <f t="shared" si="8"/>
        <v>2</v>
      </c>
      <c r="AT21" s="62">
        <v>2</v>
      </c>
      <c r="AU21" s="143">
        <v>1</v>
      </c>
      <c r="AV21" s="13">
        <f t="shared" si="9"/>
        <v>3</v>
      </c>
      <c r="AW21" s="62">
        <f>-1+4</f>
        <v>3</v>
      </c>
      <c r="AX21" s="143">
        <f>1+2</f>
        <v>3</v>
      </c>
      <c r="AY21" s="13">
        <f t="shared" si="10"/>
        <v>3</v>
      </c>
      <c r="AZ21" s="62"/>
      <c r="BA21" s="143"/>
      <c r="BB21" s="13">
        <f t="shared" si="11"/>
        <v>3</v>
      </c>
      <c r="BC21" s="62">
        <v>2</v>
      </c>
      <c r="BD21" s="143">
        <f>1+1</f>
        <v>2</v>
      </c>
      <c r="BE21" s="13">
        <f t="shared" si="12"/>
        <v>3</v>
      </c>
      <c r="BF21" s="62">
        <v>2</v>
      </c>
      <c r="BG21" s="143">
        <v>2</v>
      </c>
      <c r="BH21" s="13">
        <f t="shared" si="13"/>
        <v>3</v>
      </c>
      <c r="BI21" s="62">
        <f>-3+5</f>
        <v>2</v>
      </c>
      <c r="BJ21" s="143">
        <f>1+2</f>
        <v>3</v>
      </c>
      <c r="BK21" s="13">
        <f t="shared" si="14"/>
        <v>2</v>
      </c>
      <c r="BL21" s="62"/>
      <c r="BM21" s="190"/>
      <c r="BN21" s="13">
        <f t="shared" si="15"/>
        <v>2</v>
      </c>
      <c r="BO21" s="62">
        <v>2</v>
      </c>
      <c r="BP21" s="143">
        <f>1</f>
        <v>1</v>
      </c>
      <c r="BQ21" s="13">
        <f t="shared" si="16"/>
        <v>3</v>
      </c>
      <c r="BR21" s="62">
        <f>1-1</f>
        <v>0</v>
      </c>
      <c r="BS21" s="143">
        <f>1</f>
        <v>1</v>
      </c>
      <c r="BT21" s="13">
        <f t="shared" si="17"/>
        <v>2</v>
      </c>
      <c r="BU21" s="62"/>
      <c r="BV21" s="143"/>
      <c r="BW21" s="13">
        <f t="shared" si="18"/>
        <v>2</v>
      </c>
      <c r="BX21" s="62">
        <f>-2+5</f>
        <v>3</v>
      </c>
      <c r="BY21" s="143">
        <f>1+1</f>
        <v>2</v>
      </c>
      <c r="BZ21" s="13">
        <f t="shared" si="19"/>
        <v>3</v>
      </c>
      <c r="CA21" s="62">
        <v>2</v>
      </c>
      <c r="CB21" s="143">
        <f>3</f>
        <v>3</v>
      </c>
      <c r="CC21" s="13">
        <f t="shared" si="20"/>
        <v>2</v>
      </c>
      <c r="CD21" s="62">
        <f>-5+7</f>
        <v>2</v>
      </c>
      <c r="CE21" s="143">
        <v>2</v>
      </c>
      <c r="CF21" s="13">
        <f t="shared" si="21"/>
        <v>2</v>
      </c>
      <c r="CG21" s="62"/>
      <c r="CH21" s="143"/>
      <c r="CI21" s="13">
        <f t="shared" si="31"/>
        <v>2</v>
      </c>
      <c r="CJ21" s="62"/>
      <c r="CK21" s="143">
        <v>2</v>
      </c>
      <c r="CL21" s="13">
        <f t="shared" si="32"/>
        <v>0</v>
      </c>
      <c r="CM21" s="62"/>
      <c r="CN21" s="143"/>
      <c r="CO21" s="13">
        <f t="shared" si="22"/>
        <v>0</v>
      </c>
      <c r="CP21" s="62">
        <v>3</v>
      </c>
      <c r="CQ21" s="143"/>
      <c r="CR21" s="13">
        <f t="shared" si="33"/>
        <v>3</v>
      </c>
      <c r="CS21" s="62"/>
      <c r="CT21" s="143"/>
      <c r="CU21" s="14">
        <f t="shared" si="23"/>
        <v>3</v>
      </c>
      <c r="CV21" s="5">
        <f t="shared" si="24"/>
        <v>41</v>
      </c>
      <c r="CW21" s="4">
        <f t="shared" si="24"/>
        <v>38</v>
      </c>
      <c r="CX21" s="6">
        <f t="shared" si="25"/>
        <v>3</v>
      </c>
      <c r="CY21" s="191">
        <v>180</v>
      </c>
      <c r="CZ21" s="171">
        <f t="shared" si="26"/>
        <v>540</v>
      </c>
      <c r="DB21" s="2">
        <f t="shared" si="34"/>
        <v>3</v>
      </c>
      <c r="DC21" s="61"/>
      <c r="DD21" s="143"/>
      <c r="DE21" s="149">
        <f t="shared" si="35"/>
        <v>3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9.2000000000000064</v>
      </c>
      <c r="G22" s="62">
        <f>-10+20</f>
        <v>10</v>
      </c>
      <c r="H22" s="143">
        <f>3.1+3.8+2.9+1.4+2.7</f>
        <v>13.900000000000002</v>
      </c>
      <c r="I22" s="13">
        <f t="shared" si="0"/>
        <v>5.3000000000000043</v>
      </c>
      <c r="J22" s="62"/>
      <c r="K22" s="143"/>
      <c r="L22" s="13">
        <f t="shared" si="1"/>
        <v>5.3000000000000043</v>
      </c>
      <c r="M22" s="62"/>
      <c r="N22" s="143">
        <f>0.7</f>
        <v>0.7</v>
      </c>
      <c r="O22" s="13">
        <f t="shared" si="2"/>
        <v>4.6000000000000041</v>
      </c>
      <c r="P22" s="62"/>
      <c r="Q22" s="143">
        <f>1</f>
        <v>1</v>
      </c>
      <c r="R22" s="30">
        <f t="shared" si="3"/>
        <v>3.6000000000000041</v>
      </c>
      <c r="S22" s="62">
        <v>10</v>
      </c>
      <c r="T22" s="143">
        <f>0.9+2.7+0.2</f>
        <v>3.8000000000000003</v>
      </c>
      <c r="U22" s="13">
        <f t="shared" si="4"/>
        <v>9.8000000000000043</v>
      </c>
      <c r="V22" s="62"/>
      <c r="W22" s="143"/>
      <c r="X22" s="13">
        <f t="shared" si="5"/>
        <v>9.8000000000000043</v>
      </c>
      <c r="Y22" s="62">
        <v>10</v>
      </c>
      <c r="Z22" s="143">
        <f>5.7</f>
        <v>5.7</v>
      </c>
      <c r="AA22" s="13">
        <f t="shared" si="27"/>
        <v>14.100000000000005</v>
      </c>
      <c r="AB22" s="62">
        <v>10</v>
      </c>
      <c r="AC22" s="143">
        <f>2.7+2.7+1.3</f>
        <v>6.7</v>
      </c>
      <c r="AD22" s="13">
        <f t="shared" si="28"/>
        <v>17.400000000000006</v>
      </c>
      <c r="AE22" s="62"/>
      <c r="AF22" s="143"/>
      <c r="AG22" s="13">
        <f t="shared" si="29"/>
        <v>17.400000000000006</v>
      </c>
      <c r="AH22" s="62"/>
      <c r="AI22" s="143">
        <f>5</f>
        <v>5</v>
      </c>
      <c r="AJ22" s="13">
        <f t="shared" si="30"/>
        <v>12.400000000000006</v>
      </c>
      <c r="AK22" s="62"/>
      <c r="AL22" s="143"/>
      <c r="AM22" s="13">
        <f t="shared" si="6"/>
        <v>12.400000000000006</v>
      </c>
      <c r="AN22" s="62"/>
      <c r="AO22" s="143">
        <f>3.4+1.9</f>
        <v>5.3</v>
      </c>
      <c r="AP22" s="13">
        <f t="shared" si="7"/>
        <v>7.1000000000000059</v>
      </c>
      <c r="AQ22" s="62"/>
      <c r="AR22" s="143"/>
      <c r="AS22" s="13">
        <f t="shared" si="8"/>
        <v>7.1000000000000059</v>
      </c>
      <c r="AT22" s="62">
        <v>10</v>
      </c>
      <c r="AU22" s="143">
        <f>0.2+2+0.2</f>
        <v>2.4000000000000004</v>
      </c>
      <c r="AV22" s="13">
        <f t="shared" si="9"/>
        <v>14.700000000000005</v>
      </c>
      <c r="AW22" s="62">
        <v>10</v>
      </c>
      <c r="AX22" s="143">
        <f>3.1+1+4.2+3.4+1.4</f>
        <v>13.100000000000001</v>
      </c>
      <c r="AY22" s="13">
        <f t="shared" si="10"/>
        <v>11.600000000000001</v>
      </c>
      <c r="AZ22" s="62"/>
      <c r="BA22" s="143"/>
      <c r="BB22" s="13">
        <f t="shared" si="11"/>
        <v>11.600000000000001</v>
      </c>
      <c r="BC22" s="62"/>
      <c r="BD22" s="143">
        <f>0.7+0.2</f>
        <v>0.89999999999999991</v>
      </c>
      <c r="BE22" s="13">
        <f t="shared" si="12"/>
        <v>10.700000000000001</v>
      </c>
      <c r="BF22" s="62">
        <v>10</v>
      </c>
      <c r="BG22" s="143">
        <f>0.9+2.3+10</f>
        <v>13.2</v>
      </c>
      <c r="BH22" s="13">
        <f t="shared" si="13"/>
        <v>7.5000000000000036</v>
      </c>
      <c r="BI22" s="62"/>
      <c r="BJ22" s="143">
        <f>0.9+2.9</f>
        <v>3.8</v>
      </c>
      <c r="BK22" s="13">
        <f t="shared" si="14"/>
        <v>3.7000000000000037</v>
      </c>
      <c r="BL22" s="62"/>
      <c r="BM22" s="143"/>
      <c r="BN22" s="13">
        <f t="shared" si="15"/>
        <v>3.7000000000000037</v>
      </c>
      <c r="BO22" s="62">
        <v>10</v>
      </c>
      <c r="BP22" s="143">
        <f>0.2</f>
        <v>0.2</v>
      </c>
      <c r="BQ22" s="13">
        <f t="shared" si="16"/>
        <v>13.500000000000004</v>
      </c>
      <c r="BR22" s="62">
        <v>10</v>
      </c>
      <c r="BS22" s="143">
        <f>3.5+2.7</f>
        <v>6.2</v>
      </c>
      <c r="BT22" s="13">
        <f t="shared" si="17"/>
        <v>17.300000000000004</v>
      </c>
      <c r="BU22" s="62"/>
      <c r="BV22" s="143"/>
      <c r="BW22" s="13">
        <f t="shared" si="18"/>
        <v>17.300000000000004</v>
      </c>
      <c r="BX22" s="62"/>
      <c r="BY22" s="143">
        <f>5</f>
        <v>5</v>
      </c>
      <c r="BZ22" s="13">
        <f t="shared" si="19"/>
        <v>12.300000000000004</v>
      </c>
      <c r="CA22" s="62"/>
      <c r="CB22" s="143">
        <f>2.2</f>
        <v>2.2000000000000002</v>
      </c>
      <c r="CC22" s="13">
        <f t="shared" si="20"/>
        <v>10.100000000000005</v>
      </c>
      <c r="CD22" s="62"/>
      <c r="CE22" s="143">
        <f>3.4+2</f>
        <v>5.4</v>
      </c>
      <c r="CF22" s="13">
        <f t="shared" si="21"/>
        <v>4.7000000000000046</v>
      </c>
      <c r="CG22" s="62"/>
      <c r="CH22" s="143"/>
      <c r="CI22" s="13">
        <f t="shared" si="31"/>
        <v>4.7000000000000046</v>
      </c>
      <c r="CJ22" s="62">
        <v>10</v>
      </c>
      <c r="CK22" s="143">
        <f>2.8+1+1.6+1</f>
        <v>6.4</v>
      </c>
      <c r="CL22" s="13">
        <f t="shared" si="32"/>
        <v>8.3000000000000043</v>
      </c>
      <c r="CM22" s="62"/>
      <c r="CN22" s="143"/>
      <c r="CO22" s="13">
        <f t="shared" si="22"/>
        <v>8.3000000000000043</v>
      </c>
      <c r="CP22" s="62"/>
      <c r="CQ22" s="143"/>
      <c r="CR22" s="13">
        <f t="shared" si="33"/>
        <v>8.3000000000000043</v>
      </c>
      <c r="CS22" s="62"/>
      <c r="CT22" s="143"/>
      <c r="CU22" s="14">
        <f t="shared" si="23"/>
        <v>8.3000000000000043</v>
      </c>
      <c r="CV22" s="5">
        <f t="shared" si="24"/>
        <v>100</v>
      </c>
      <c r="CW22" s="4">
        <f t="shared" si="24"/>
        <v>100.9</v>
      </c>
      <c r="CX22" s="6">
        <f t="shared" si="25"/>
        <v>8.3000000000000043</v>
      </c>
      <c r="CY22" s="162">
        <v>280</v>
      </c>
      <c r="CZ22" s="171">
        <f t="shared" si="26"/>
        <v>2324.0000000000014</v>
      </c>
      <c r="DB22" s="2">
        <f t="shared" si="34"/>
        <v>8.3000000000000043</v>
      </c>
      <c r="DC22" s="62"/>
      <c r="DD22" s="143">
        <f>1.8+0.2+5</f>
        <v>7</v>
      </c>
      <c r="DE22" s="149">
        <f t="shared" si="35"/>
        <v>1.3000000000000043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30</v>
      </c>
      <c r="G23" s="62">
        <v>60</v>
      </c>
      <c r="H23" s="143">
        <v>27</v>
      </c>
      <c r="I23" s="13">
        <f t="shared" si="0"/>
        <v>63</v>
      </c>
      <c r="J23" s="62"/>
      <c r="K23" s="143"/>
      <c r="L23" s="13">
        <f t="shared" si="1"/>
        <v>63</v>
      </c>
      <c r="M23" s="62"/>
      <c r="N23" s="143">
        <f>18+1</f>
        <v>19</v>
      </c>
      <c r="O23" s="13">
        <f t="shared" si="2"/>
        <v>44</v>
      </c>
      <c r="P23" s="62">
        <v>30</v>
      </c>
      <c r="Q23" s="143">
        <v>10</v>
      </c>
      <c r="R23" s="13">
        <f t="shared" si="3"/>
        <v>64</v>
      </c>
      <c r="S23" s="62"/>
      <c r="T23" s="143">
        <f>14</f>
        <v>14</v>
      </c>
      <c r="U23" s="13">
        <f t="shared" si="4"/>
        <v>50</v>
      </c>
      <c r="V23" s="62"/>
      <c r="W23" s="143"/>
      <c r="X23" s="13">
        <f t="shared" si="5"/>
        <v>50</v>
      </c>
      <c r="Y23" s="62">
        <v>30</v>
      </c>
      <c r="Z23" s="143">
        <v>16</v>
      </c>
      <c r="AA23" s="13">
        <f t="shared" si="27"/>
        <v>64</v>
      </c>
      <c r="AB23" s="62"/>
      <c r="AC23" s="143">
        <f>14+1+1</f>
        <v>16</v>
      </c>
      <c r="AD23" s="13">
        <f t="shared" si="28"/>
        <v>48</v>
      </c>
      <c r="AE23" s="62"/>
      <c r="AF23" s="143"/>
      <c r="AG23" s="13">
        <f t="shared" si="29"/>
        <v>48</v>
      </c>
      <c r="AH23" s="62"/>
      <c r="AI23" s="143">
        <v>6</v>
      </c>
      <c r="AJ23" s="13">
        <f t="shared" si="30"/>
        <v>42</v>
      </c>
      <c r="AK23" s="62">
        <v>30</v>
      </c>
      <c r="AL23" s="143">
        <f>16</f>
        <v>16</v>
      </c>
      <c r="AM23" s="13">
        <f t="shared" si="6"/>
        <v>56</v>
      </c>
      <c r="AN23" s="62"/>
      <c r="AO23" s="143">
        <f>10</f>
        <v>10</v>
      </c>
      <c r="AP23" s="13">
        <f t="shared" si="7"/>
        <v>46</v>
      </c>
      <c r="AQ23" s="62"/>
      <c r="AR23" s="143"/>
      <c r="AS23" s="13">
        <f t="shared" si="8"/>
        <v>46</v>
      </c>
      <c r="AT23" s="62"/>
      <c r="AU23" s="143">
        <v>10</v>
      </c>
      <c r="AV23" s="13">
        <f t="shared" si="9"/>
        <v>36</v>
      </c>
      <c r="AW23" s="62">
        <v>30</v>
      </c>
      <c r="AX23" s="143">
        <f>10+1</f>
        <v>11</v>
      </c>
      <c r="AY23" s="13">
        <f t="shared" si="10"/>
        <v>55</v>
      </c>
      <c r="AZ23" s="62"/>
      <c r="BA23" s="143"/>
      <c r="BB23" s="13">
        <f t="shared" si="11"/>
        <v>55</v>
      </c>
      <c r="BC23" s="62"/>
      <c r="BD23" s="143">
        <f>12+1</f>
        <v>13</v>
      </c>
      <c r="BE23" s="13">
        <f t="shared" si="12"/>
        <v>42</v>
      </c>
      <c r="BF23" s="62"/>
      <c r="BG23" s="143">
        <f>4</f>
        <v>4</v>
      </c>
      <c r="BH23" s="13">
        <f t="shared" si="13"/>
        <v>38</v>
      </c>
      <c r="BI23" s="62">
        <v>30</v>
      </c>
      <c r="BJ23" s="143">
        <f>16</f>
        <v>16</v>
      </c>
      <c r="BK23" s="13">
        <f t="shared" si="14"/>
        <v>52</v>
      </c>
      <c r="BL23" s="62"/>
      <c r="BM23" s="143"/>
      <c r="BN23" s="13">
        <f t="shared" si="15"/>
        <v>52</v>
      </c>
      <c r="BO23" s="62"/>
      <c r="BP23" s="143">
        <v>10</v>
      </c>
      <c r="BQ23" s="13">
        <f t="shared" si="16"/>
        <v>42</v>
      </c>
      <c r="BR23" s="62"/>
      <c r="BS23" s="143">
        <f>16+1</f>
        <v>17</v>
      </c>
      <c r="BT23" s="13">
        <f t="shared" si="17"/>
        <v>25</v>
      </c>
      <c r="BU23" s="62"/>
      <c r="BV23" s="143"/>
      <c r="BW23" s="13">
        <f t="shared" si="18"/>
        <v>25</v>
      </c>
      <c r="BX23" s="62">
        <v>30</v>
      </c>
      <c r="BY23" s="143">
        <f>12</f>
        <v>12</v>
      </c>
      <c r="BZ23" s="13">
        <f t="shared" si="19"/>
        <v>43</v>
      </c>
      <c r="CA23" s="62">
        <v>30</v>
      </c>
      <c r="CB23" s="143">
        <f>14</f>
        <v>14</v>
      </c>
      <c r="CC23" s="13">
        <f t="shared" si="20"/>
        <v>59</v>
      </c>
      <c r="CD23" s="62">
        <v>30</v>
      </c>
      <c r="CE23" s="143">
        <v>22</v>
      </c>
      <c r="CF23" s="13">
        <f t="shared" si="21"/>
        <v>67</v>
      </c>
      <c r="CG23" s="62"/>
      <c r="CH23" s="143"/>
      <c r="CI23" s="13">
        <f t="shared" si="31"/>
        <v>67</v>
      </c>
      <c r="CJ23" s="62"/>
      <c r="CK23" s="143">
        <v>32</v>
      </c>
      <c r="CL23" s="13">
        <f t="shared" si="32"/>
        <v>35</v>
      </c>
      <c r="CM23" s="62"/>
      <c r="CN23" s="143">
        <v>18</v>
      </c>
      <c r="CO23" s="13">
        <f t="shared" si="22"/>
        <v>17</v>
      </c>
      <c r="CP23" s="62"/>
      <c r="CQ23" s="143"/>
      <c r="CR23" s="13">
        <f t="shared" si="33"/>
        <v>17</v>
      </c>
      <c r="CS23" s="62"/>
      <c r="CT23" s="143"/>
      <c r="CU23" s="14">
        <f t="shared" si="23"/>
        <v>17</v>
      </c>
      <c r="CV23" s="5">
        <f t="shared" si="24"/>
        <v>300</v>
      </c>
      <c r="CW23" s="4">
        <f t="shared" si="24"/>
        <v>313</v>
      </c>
      <c r="CX23" s="6">
        <f t="shared" si="25"/>
        <v>17</v>
      </c>
      <c r="CY23" s="162">
        <v>160</v>
      </c>
      <c r="CZ23" s="171">
        <f t="shared" si="26"/>
        <v>2720</v>
      </c>
      <c r="DB23" s="2">
        <f t="shared" si="34"/>
        <v>17</v>
      </c>
      <c r="DC23" s="61"/>
      <c r="DD23" s="143">
        <f>1</f>
        <v>1</v>
      </c>
      <c r="DE23" s="149">
        <f t="shared" si="35"/>
        <v>16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1</v>
      </c>
      <c r="G24" s="62"/>
      <c r="H24" s="143"/>
      <c r="I24" s="13">
        <f t="shared" si="0"/>
        <v>1</v>
      </c>
      <c r="J24" s="62"/>
      <c r="K24" s="143"/>
      <c r="L24" s="13">
        <f t="shared" si="1"/>
        <v>1</v>
      </c>
      <c r="M24" s="62"/>
      <c r="N24" s="143"/>
      <c r="O24" s="13">
        <f t="shared" si="2"/>
        <v>1</v>
      </c>
      <c r="P24" s="62"/>
      <c r="Q24" s="143"/>
      <c r="R24" s="30">
        <f t="shared" si="3"/>
        <v>1</v>
      </c>
      <c r="S24" s="62"/>
      <c r="T24" s="143"/>
      <c r="U24" s="13">
        <f t="shared" si="4"/>
        <v>1</v>
      </c>
      <c r="V24" s="62"/>
      <c r="W24" s="143"/>
      <c r="X24" s="13">
        <f t="shared" si="5"/>
        <v>1</v>
      </c>
      <c r="Y24" s="62"/>
      <c r="Z24" s="143"/>
      <c r="AA24" s="13">
        <f t="shared" si="27"/>
        <v>1</v>
      </c>
      <c r="AB24" s="62"/>
      <c r="AC24" s="143"/>
      <c r="AD24" s="13">
        <f t="shared" si="28"/>
        <v>1</v>
      </c>
      <c r="AE24" s="62"/>
      <c r="AF24" s="143"/>
      <c r="AG24" s="13">
        <f t="shared" si="29"/>
        <v>1</v>
      </c>
      <c r="AH24" s="62"/>
      <c r="AI24" s="143"/>
      <c r="AJ24" s="13">
        <f t="shared" si="30"/>
        <v>1</v>
      </c>
      <c r="AK24" s="62">
        <v>3</v>
      </c>
      <c r="AL24" s="143">
        <v>4</v>
      </c>
      <c r="AM24" s="13">
        <f t="shared" si="6"/>
        <v>0</v>
      </c>
      <c r="AN24" s="62">
        <v>9</v>
      </c>
      <c r="AO24" s="143">
        <v>1</v>
      </c>
      <c r="AP24" s="13">
        <f t="shared" si="7"/>
        <v>8</v>
      </c>
      <c r="AQ24" s="62"/>
      <c r="AR24" s="143"/>
      <c r="AS24" s="13">
        <f t="shared" si="8"/>
        <v>8</v>
      </c>
      <c r="AT24" s="62">
        <v>1</v>
      </c>
      <c r="AU24" s="143">
        <v>6</v>
      </c>
      <c r="AV24" s="13">
        <f t="shared" si="9"/>
        <v>3</v>
      </c>
      <c r="AW24" s="62"/>
      <c r="AX24" s="143">
        <v>3</v>
      </c>
      <c r="AY24" s="13">
        <f t="shared" si="10"/>
        <v>0</v>
      </c>
      <c r="AZ24" s="62"/>
      <c r="BA24" s="143"/>
      <c r="BB24" s="13">
        <f t="shared" si="11"/>
        <v>0</v>
      </c>
      <c r="BC24" s="62"/>
      <c r="BD24" s="143"/>
      <c r="BE24" s="13">
        <f t="shared" si="12"/>
        <v>0</v>
      </c>
      <c r="BF24" s="62"/>
      <c r="BG24" s="143"/>
      <c r="BH24" s="13">
        <f t="shared" si="13"/>
        <v>0</v>
      </c>
      <c r="BI24" s="62">
        <v>9</v>
      </c>
      <c r="BJ24" s="143">
        <v>4</v>
      </c>
      <c r="BK24" s="13">
        <f t="shared" si="14"/>
        <v>5</v>
      </c>
      <c r="BL24" s="62"/>
      <c r="BM24" s="143"/>
      <c r="BN24" s="13">
        <f t="shared" si="15"/>
        <v>5</v>
      </c>
      <c r="BO24" s="62"/>
      <c r="BP24" s="143">
        <f>4</f>
        <v>4</v>
      </c>
      <c r="BQ24" s="13">
        <f t="shared" si="16"/>
        <v>1</v>
      </c>
      <c r="BR24" s="62">
        <v>9</v>
      </c>
      <c r="BS24" s="143">
        <f>5</f>
        <v>5</v>
      </c>
      <c r="BT24" s="13">
        <f t="shared" si="17"/>
        <v>5</v>
      </c>
      <c r="BU24" s="62"/>
      <c r="BV24" s="143"/>
      <c r="BW24" s="13">
        <f t="shared" si="18"/>
        <v>5</v>
      </c>
      <c r="BX24" s="62"/>
      <c r="BY24" s="143"/>
      <c r="BZ24" s="13">
        <f t="shared" si="19"/>
        <v>5</v>
      </c>
      <c r="CA24" s="62"/>
      <c r="CB24" s="143"/>
      <c r="CC24" s="13">
        <f t="shared" si="20"/>
        <v>5</v>
      </c>
      <c r="CD24" s="62"/>
      <c r="CE24" s="143"/>
      <c r="CF24" s="13">
        <f t="shared" si="21"/>
        <v>5</v>
      </c>
      <c r="CG24" s="62"/>
      <c r="CH24" s="143"/>
      <c r="CI24" s="13">
        <f t="shared" si="31"/>
        <v>5</v>
      </c>
      <c r="CJ24" s="62"/>
      <c r="CK24" s="143"/>
      <c r="CL24" s="13">
        <f t="shared" si="32"/>
        <v>5</v>
      </c>
      <c r="CM24" s="62"/>
      <c r="CN24" s="143"/>
      <c r="CO24" s="13">
        <f t="shared" si="22"/>
        <v>5</v>
      </c>
      <c r="CP24" s="62"/>
      <c r="CQ24" s="143"/>
      <c r="CR24" s="13">
        <f t="shared" si="33"/>
        <v>5</v>
      </c>
      <c r="CS24" s="62"/>
      <c r="CT24" s="143"/>
      <c r="CU24" s="14">
        <f t="shared" si="23"/>
        <v>5</v>
      </c>
      <c r="CV24" s="5">
        <f t="shared" si="24"/>
        <v>31</v>
      </c>
      <c r="CW24" s="4">
        <f t="shared" si="24"/>
        <v>27</v>
      </c>
      <c r="CX24" s="6">
        <f t="shared" si="25"/>
        <v>5</v>
      </c>
      <c r="CY24" s="162">
        <v>87</v>
      </c>
      <c r="CZ24" s="171">
        <f t="shared" si="26"/>
        <v>435</v>
      </c>
      <c r="DB24" s="2">
        <f t="shared" si="34"/>
        <v>5</v>
      </c>
      <c r="DC24" s="61"/>
      <c r="DD24" s="143"/>
      <c r="DE24" s="149">
        <f t="shared" si="35"/>
        <v>5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7.5</v>
      </c>
      <c r="G25" s="62">
        <v>10</v>
      </c>
      <c r="H25" s="143">
        <f>1+2+2</f>
        <v>5</v>
      </c>
      <c r="I25" s="13">
        <f t="shared" si="0"/>
        <v>12.5</v>
      </c>
      <c r="J25" s="62"/>
      <c r="K25" s="143"/>
      <c r="L25" s="13">
        <f t="shared" si="1"/>
        <v>12.5</v>
      </c>
      <c r="M25" s="62"/>
      <c r="N25" s="143">
        <f>1+0.5</f>
        <v>1.5</v>
      </c>
      <c r="O25" s="13">
        <f t="shared" si="2"/>
        <v>11</v>
      </c>
      <c r="P25" s="62"/>
      <c r="Q25" s="143">
        <v>2</v>
      </c>
      <c r="R25" s="30">
        <f t="shared" si="3"/>
        <v>9</v>
      </c>
      <c r="S25" s="62">
        <v>10</v>
      </c>
      <c r="T25" s="143">
        <f>5</f>
        <v>5</v>
      </c>
      <c r="U25" s="13">
        <f t="shared" si="4"/>
        <v>14</v>
      </c>
      <c r="V25" s="62"/>
      <c r="W25" s="143"/>
      <c r="X25" s="13">
        <f t="shared" si="5"/>
        <v>14</v>
      </c>
      <c r="Y25" s="62"/>
      <c r="Z25" s="143">
        <f>2+2+1</f>
        <v>5</v>
      </c>
      <c r="AA25" s="13">
        <f t="shared" si="27"/>
        <v>9</v>
      </c>
      <c r="AB25" s="62"/>
      <c r="AC25" s="143">
        <f>1+1</f>
        <v>2</v>
      </c>
      <c r="AD25" s="13">
        <f t="shared" si="28"/>
        <v>7</v>
      </c>
      <c r="AE25" s="62"/>
      <c r="AF25" s="143"/>
      <c r="AG25" s="13">
        <f t="shared" si="29"/>
        <v>7</v>
      </c>
      <c r="AH25" s="62"/>
      <c r="AI25" s="143">
        <f>0.5+0.5+3</f>
        <v>4</v>
      </c>
      <c r="AJ25" s="13">
        <f t="shared" si="30"/>
        <v>3</v>
      </c>
      <c r="AK25" s="62">
        <v>10</v>
      </c>
      <c r="AL25" s="143">
        <f>3+1.5</f>
        <v>4.5</v>
      </c>
      <c r="AM25" s="13">
        <f t="shared" si="6"/>
        <v>8.5</v>
      </c>
      <c r="AN25" s="62">
        <v>10</v>
      </c>
      <c r="AO25" s="143">
        <f>4+1+1</f>
        <v>6</v>
      </c>
      <c r="AP25" s="13">
        <f t="shared" si="7"/>
        <v>12.5</v>
      </c>
      <c r="AQ25" s="62"/>
      <c r="AR25" s="143"/>
      <c r="AS25" s="13">
        <f t="shared" si="8"/>
        <v>12.5</v>
      </c>
      <c r="AT25" s="62"/>
      <c r="AU25" s="143">
        <f>1+2+1+0.5</f>
        <v>4.5</v>
      </c>
      <c r="AV25" s="13">
        <f t="shared" si="9"/>
        <v>8</v>
      </c>
      <c r="AW25" s="62">
        <v>10</v>
      </c>
      <c r="AX25" s="143">
        <f>1+2+1+1+1+1+1+1</f>
        <v>9</v>
      </c>
      <c r="AY25" s="13">
        <f t="shared" si="10"/>
        <v>9</v>
      </c>
      <c r="AZ25" s="62"/>
      <c r="BA25" s="143"/>
      <c r="BB25" s="13">
        <f t="shared" si="11"/>
        <v>9</v>
      </c>
      <c r="BC25" s="62"/>
      <c r="BD25" s="143"/>
      <c r="BE25" s="13">
        <f t="shared" si="12"/>
        <v>9</v>
      </c>
      <c r="BF25" s="62"/>
      <c r="BG25" s="143"/>
      <c r="BH25" s="13">
        <f t="shared" si="13"/>
        <v>9</v>
      </c>
      <c r="BI25" s="62"/>
      <c r="BJ25" s="143">
        <f>1+1</f>
        <v>2</v>
      </c>
      <c r="BK25" s="13">
        <f t="shared" si="14"/>
        <v>7</v>
      </c>
      <c r="BL25" s="62"/>
      <c r="BM25" s="143"/>
      <c r="BN25" s="13">
        <f t="shared" si="15"/>
        <v>7</v>
      </c>
      <c r="BO25" s="62">
        <v>10</v>
      </c>
      <c r="BP25" s="143">
        <f>2+2+1+1+2</f>
        <v>8</v>
      </c>
      <c r="BQ25" s="13">
        <f t="shared" si="16"/>
        <v>9</v>
      </c>
      <c r="BR25" s="62">
        <v>10</v>
      </c>
      <c r="BS25" s="143">
        <f>1+1+2+1.5+2</f>
        <v>7.5</v>
      </c>
      <c r="BT25" s="13">
        <f t="shared" si="17"/>
        <v>11.5</v>
      </c>
      <c r="BU25" s="62"/>
      <c r="BV25" s="143"/>
      <c r="BW25" s="13">
        <f t="shared" si="18"/>
        <v>11.5</v>
      </c>
      <c r="BX25" s="62"/>
      <c r="BY25" s="143">
        <f>2.5</f>
        <v>2.5</v>
      </c>
      <c r="BZ25" s="13">
        <f t="shared" si="19"/>
        <v>9</v>
      </c>
      <c r="CA25" s="62"/>
      <c r="CB25" s="143">
        <f>1+1</f>
        <v>2</v>
      </c>
      <c r="CC25" s="13">
        <f t="shared" si="20"/>
        <v>7</v>
      </c>
      <c r="CD25" s="62">
        <v>10</v>
      </c>
      <c r="CE25" s="143">
        <f>4+3+1+1</f>
        <v>9</v>
      </c>
      <c r="CF25" s="13">
        <f t="shared" si="21"/>
        <v>8</v>
      </c>
      <c r="CG25" s="62"/>
      <c r="CH25" s="143"/>
      <c r="CI25" s="13">
        <f t="shared" si="31"/>
        <v>8</v>
      </c>
      <c r="CJ25" s="62">
        <v>10</v>
      </c>
      <c r="CK25" s="143">
        <f>2+3+1+1+1</f>
        <v>8</v>
      </c>
      <c r="CL25" s="13">
        <f t="shared" si="32"/>
        <v>10</v>
      </c>
      <c r="CM25" s="62"/>
      <c r="CN25" s="143">
        <v>1</v>
      </c>
      <c r="CO25" s="13">
        <f t="shared" si="22"/>
        <v>9</v>
      </c>
      <c r="CP25" s="64">
        <v>10</v>
      </c>
      <c r="CQ25" s="143"/>
      <c r="CR25" s="13">
        <f t="shared" si="33"/>
        <v>19</v>
      </c>
      <c r="CS25" s="62"/>
      <c r="CT25" s="143"/>
      <c r="CU25" s="14">
        <f t="shared" si="23"/>
        <v>19</v>
      </c>
      <c r="CV25" s="5">
        <f t="shared" si="24"/>
        <v>100</v>
      </c>
      <c r="CW25" s="4">
        <f t="shared" si="24"/>
        <v>88.5</v>
      </c>
      <c r="CX25" s="6">
        <f t="shared" si="25"/>
        <v>19</v>
      </c>
      <c r="CY25" s="162">
        <v>165</v>
      </c>
      <c r="CZ25" s="171">
        <f t="shared" si="26"/>
        <v>3135</v>
      </c>
      <c r="DB25" s="2">
        <f t="shared" si="34"/>
        <v>19</v>
      </c>
      <c r="DC25" s="61"/>
      <c r="DD25" s="143"/>
      <c r="DE25" s="149">
        <f t="shared" si="35"/>
        <v>19</v>
      </c>
    </row>
    <row r="26" spans="1:109" ht="15.75" customHeight="1">
      <c r="A26" s="33"/>
      <c r="B26" s="7" t="s">
        <v>64</v>
      </c>
      <c r="C26" s="105" t="s">
        <v>65</v>
      </c>
      <c r="D26" s="35" t="s">
        <v>246</v>
      </c>
      <c r="E26" s="35" t="s">
        <v>51</v>
      </c>
      <c r="F26" s="14">
        <v>7</v>
      </c>
      <c r="G26" s="62">
        <f>-1+11</f>
        <v>10</v>
      </c>
      <c r="H26" s="143">
        <v>7</v>
      </c>
      <c r="I26" s="13">
        <f t="shared" si="0"/>
        <v>10</v>
      </c>
      <c r="J26" s="62"/>
      <c r="K26" s="143"/>
      <c r="L26" s="13">
        <f t="shared" si="1"/>
        <v>10</v>
      </c>
      <c r="M26" s="62">
        <v>5</v>
      </c>
      <c r="N26" s="143">
        <v>5</v>
      </c>
      <c r="O26" s="13">
        <f t="shared" si="2"/>
        <v>10</v>
      </c>
      <c r="P26" s="62">
        <v>3</v>
      </c>
      <c r="Q26" s="143">
        <v>3</v>
      </c>
      <c r="R26" s="30">
        <f t="shared" si="3"/>
        <v>10</v>
      </c>
      <c r="S26" s="62">
        <f>-1+7</f>
        <v>6</v>
      </c>
      <c r="T26" s="143">
        <f>10</f>
        <v>10</v>
      </c>
      <c r="U26" s="13">
        <f t="shared" si="4"/>
        <v>6</v>
      </c>
      <c r="V26" s="62"/>
      <c r="W26" s="143"/>
      <c r="X26" s="13">
        <f t="shared" si="5"/>
        <v>6</v>
      </c>
      <c r="Y26" s="62">
        <v>11</v>
      </c>
      <c r="Z26" s="143">
        <v>5</v>
      </c>
      <c r="AA26" s="13">
        <f t="shared" si="27"/>
        <v>12</v>
      </c>
      <c r="AB26" s="62">
        <v>7</v>
      </c>
      <c r="AC26" s="143">
        <v>9</v>
      </c>
      <c r="AD26" s="13">
        <f t="shared" si="28"/>
        <v>10</v>
      </c>
      <c r="AE26" s="62"/>
      <c r="AF26" s="143"/>
      <c r="AG26" s="13">
        <f t="shared" si="29"/>
        <v>10</v>
      </c>
      <c r="AH26" s="62">
        <v>3</v>
      </c>
      <c r="AI26" s="143">
        <v>7</v>
      </c>
      <c r="AJ26" s="13">
        <f t="shared" si="30"/>
        <v>6</v>
      </c>
      <c r="AK26" s="62">
        <f>4+3+1</f>
        <v>8</v>
      </c>
      <c r="AL26" s="143">
        <v>5</v>
      </c>
      <c r="AM26" s="13">
        <f t="shared" si="6"/>
        <v>9</v>
      </c>
      <c r="AN26" s="62">
        <f>10+3</f>
        <v>13</v>
      </c>
      <c r="AO26" s="143">
        <v>6</v>
      </c>
      <c r="AP26" s="13">
        <f t="shared" si="7"/>
        <v>16</v>
      </c>
      <c r="AQ26" s="62"/>
      <c r="AR26" s="143"/>
      <c r="AS26" s="13">
        <f t="shared" si="8"/>
        <v>16</v>
      </c>
      <c r="AT26" s="62">
        <v>7</v>
      </c>
      <c r="AU26" s="143">
        <v>5</v>
      </c>
      <c r="AV26" s="13">
        <f t="shared" si="9"/>
        <v>18</v>
      </c>
      <c r="AW26" s="62">
        <v>7</v>
      </c>
      <c r="AX26" s="143">
        <v>8</v>
      </c>
      <c r="AY26" s="13">
        <f t="shared" si="10"/>
        <v>17</v>
      </c>
      <c r="AZ26" s="62"/>
      <c r="BA26" s="143"/>
      <c r="BB26" s="13">
        <f t="shared" si="11"/>
        <v>17</v>
      </c>
      <c r="BC26" s="62">
        <v>14</v>
      </c>
      <c r="BD26" s="143">
        <v>6</v>
      </c>
      <c r="BE26" s="13">
        <f t="shared" si="12"/>
        <v>25</v>
      </c>
      <c r="BF26" s="62"/>
      <c r="BG26" s="143">
        <v>6</v>
      </c>
      <c r="BH26" s="13">
        <f t="shared" si="13"/>
        <v>19</v>
      </c>
      <c r="BI26" s="62">
        <v>8</v>
      </c>
      <c r="BJ26" s="143">
        <v>7</v>
      </c>
      <c r="BK26" s="13">
        <f t="shared" si="14"/>
        <v>20</v>
      </c>
      <c r="BL26" s="62"/>
      <c r="BM26" s="143"/>
      <c r="BN26" s="13">
        <f t="shared" si="15"/>
        <v>20</v>
      </c>
      <c r="BO26" s="62">
        <v>14</v>
      </c>
      <c r="BP26" s="143">
        <v>6</v>
      </c>
      <c r="BQ26" s="13">
        <f t="shared" si="16"/>
        <v>28</v>
      </c>
      <c r="BR26" s="62">
        <v>5</v>
      </c>
      <c r="BS26" s="143">
        <v>5</v>
      </c>
      <c r="BT26" s="13">
        <f t="shared" si="17"/>
        <v>28</v>
      </c>
      <c r="BU26" s="62"/>
      <c r="BV26" s="143"/>
      <c r="BW26" s="13">
        <f t="shared" si="18"/>
        <v>28</v>
      </c>
      <c r="BX26" s="62"/>
      <c r="BY26" s="143">
        <v>7</v>
      </c>
      <c r="BZ26" s="13">
        <f t="shared" si="19"/>
        <v>21</v>
      </c>
      <c r="CA26" s="64">
        <v>20</v>
      </c>
      <c r="CB26" s="143">
        <v>4</v>
      </c>
      <c r="CC26" s="13">
        <f t="shared" si="20"/>
        <v>37</v>
      </c>
      <c r="CD26" s="62"/>
      <c r="CE26" s="143">
        <v>10</v>
      </c>
      <c r="CF26" s="13">
        <f t="shared" si="21"/>
        <v>27</v>
      </c>
      <c r="CG26" s="62"/>
      <c r="CH26" s="143"/>
      <c r="CI26" s="13">
        <f t="shared" si="31"/>
        <v>27</v>
      </c>
      <c r="CJ26" s="64">
        <v>20</v>
      </c>
      <c r="CK26" s="143">
        <v>7</v>
      </c>
      <c r="CL26" s="13">
        <f t="shared" si="32"/>
        <v>40</v>
      </c>
      <c r="CM26" s="62"/>
      <c r="CN26" s="143">
        <v>11</v>
      </c>
      <c r="CO26" s="13">
        <f t="shared" si="22"/>
        <v>29</v>
      </c>
      <c r="CP26" s="62"/>
      <c r="CQ26" s="143"/>
      <c r="CR26" s="13">
        <f t="shared" si="33"/>
        <v>29</v>
      </c>
      <c r="CS26" s="62"/>
      <c r="CT26" s="143"/>
      <c r="CU26" s="14">
        <f t="shared" si="23"/>
        <v>29</v>
      </c>
      <c r="CV26" s="5">
        <f t="shared" si="24"/>
        <v>161</v>
      </c>
      <c r="CW26" s="4">
        <f t="shared" si="24"/>
        <v>139</v>
      </c>
      <c r="CX26" s="6">
        <f t="shared" si="25"/>
        <v>29</v>
      </c>
      <c r="CY26" s="162">
        <v>4150</v>
      </c>
      <c r="CZ26" s="171">
        <f t="shared" si="26"/>
        <v>120350</v>
      </c>
      <c r="DB26" s="2">
        <f t="shared" si="34"/>
        <v>29</v>
      </c>
      <c r="DC26" s="61"/>
      <c r="DD26" s="143"/>
      <c r="DE26" s="149">
        <f t="shared" si="35"/>
        <v>29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0.12000000000001343</v>
      </c>
      <c r="G27" s="62">
        <f>-10+80</f>
        <v>70</v>
      </c>
      <c r="H27" s="143">
        <f>4.1+1.7+0.8+0.8+2+0.8+1.2+1+1.6+1.6+0.6+1.3+1.8</f>
        <v>19.3</v>
      </c>
      <c r="I27" s="13">
        <f t="shared" si="0"/>
        <v>50.820000000000022</v>
      </c>
      <c r="J27" s="62"/>
      <c r="K27" s="143"/>
      <c r="L27" s="13">
        <f t="shared" si="1"/>
        <v>50.820000000000022</v>
      </c>
      <c r="M27" s="62"/>
      <c r="N27" s="143">
        <f>1.7+0.3+0.2+0.4+0.2+5</f>
        <v>7.8000000000000007</v>
      </c>
      <c r="O27" s="13">
        <f t="shared" si="2"/>
        <v>43.020000000000024</v>
      </c>
      <c r="P27" s="62"/>
      <c r="Q27" s="143">
        <f>0.8+0.8+1.2</f>
        <v>2.8</v>
      </c>
      <c r="R27" s="30">
        <f t="shared" si="3"/>
        <v>40.220000000000027</v>
      </c>
      <c r="S27" s="62">
        <v>40</v>
      </c>
      <c r="T27" s="143">
        <f>3.8+2+0.7+0.8+2+2.7+2.4+0.5+6</f>
        <v>20.9</v>
      </c>
      <c r="U27" s="13">
        <f t="shared" si="4"/>
        <v>59.320000000000029</v>
      </c>
      <c r="V27" s="62"/>
      <c r="W27" s="143"/>
      <c r="X27" s="13">
        <f t="shared" si="5"/>
        <v>59.320000000000029</v>
      </c>
      <c r="Y27" s="62"/>
      <c r="Z27" s="143">
        <f>2.6+1.1+1.4+1.1+0.7+1.5+10</f>
        <v>18.399999999999999</v>
      </c>
      <c r="AA27" s="13">
        <f t="shared" si="27"/>
        <v>40.92000000000003</v>
      </c>
      <c r="AB27" s="62"/>
      <c r="AC27" s="143">
        <f>3+1.3+1.6+0.8+0.8+0.9+1.2+1.2+3.2</f>
        <v>14</v>
      </c>
      <c r="AD27" s="13">
        <f t="shared" si="28"/>
        <v>26.92000000000003</v>
      </c>
      <c r="AE27" s="62"/>
      <c r="AF27" s="143"/>
      <c r="AG27" s="13">
        <f t="shared" si="29"/>
        <v>26.92000000000003</v>
      </c>
      <c r="AH27" s="62"/>
      <c r="AI27" s="143">
        <f>0.3+0.4+0.2+0.5</f>
        <v>1.4</v>
      </c>
      <c r="AJ27" s="13">
        <f t="shared" si="30"/>
        <v>25.520000000000032</v>
      </c>
      <c r="AK27" s="62">
        <v>40</v>
      </c>
      <c r="AL27" s="143">
        <f>10+2.1+3.7</f>
        <v>15.8</v>
      </c>
      <c r="AM27" s="13">
        <f t="shared" si="6"/>
        <v>49.720000000000041</v>
      </c>
      <c r="AN27" s="62"/>
      <c r="AO27" s="143">
        <f>6+2.6+1.8+0.9+3.8+1.3+1.5+0.8+2.7+1.5+2.5+1</f>
        <v>26.400000000000002</v>
      </c>
      <c r="AP27" s="13">
        <f t="shared" si="7"/>
        <v>23.320000000000039</v>
      </c>
      <c r="AQ27" s="62"/>
      <c r="AR27" s="143"/>
      <c r="AS27" s="13">
        <f t="shared" si="8"/>
        <v>23.320000000000039</v>
      </c>
      <c r="AT27" s="62">
        <v>20</v>
      </c>
      <c r="AU27" s="143">
        <f>2+1.5+0.9+0.8+1.2+5.2+0.6</f>
        <v>12.200000000000001</v>
      </c>
      <c r="AV27" s="13">
        <f t="shared" si="9"/>
        <v>31.120000000000033</v>
      </c>
      <c r="AW27" s="62">
        <v>40</v>
      </c>
      <c r="AX27" s="143">
        <f>4+2+1.5+0.9+2.2+0.6+0.4+0.5+1.6+10+1.8+0.8+1.1+1.9+2</f>
        <v>31.300000000000004</v>
      </c>
      <c r="AY27" s="13">
        <f t="shared" si="10"/>
        <v>39.820000000000029</v>
      </c>
      <c r="AZ27" s="62"/>
      <c r="BA27" s="143"/>
      <c r="BB27" s="13">
        <f t="shared" si="11"/>
        <v>39.820000000000029</v>
      </c>
      <c r="BC27" s="62"/>
      <c r="BD27" s="143">
        <f>6.1+2+0.3+0.2+0.2+0.5+5</f>
        <v>14.299999999999999</v>
      </c>
      <c r="BE27" s="13">
        <f t="shared" si="12"/>
        <v>25.520000000000032</v>
      </c>
      <c r="BF27" s="62">
        <v>40</v>
      </c>
      <c r="BG27" s="143">
        <f>0.7+0.8+1.2</f>
        <v>2.7</v>
      </c>
      <c r="BH27" s="13">
        <f t="shared" si="13"/>
        <v>62.820000000000036</v>
      </c>
      <c r="BI27" s="62"/>
      <c r="BJ27" s="143">
        <f>2+1.4+1.1+2.2+1.5+2.8+1.6+2.6+1.5+4</f>
        <v>20.7</v>
      </c>
      <c r="BK27" s="13">
        <f t="shared" si="14"/>
        <v>42.120000000000033</v>
      </c>
      <c r="BL27" s="62"/>
      <c r="BM27" s="143"/>
      <c r="BN27" s="13">
        <f t="shared" si="15"/>
        <v>42.120000000000033</v>
      </c>
      <c r="BO27" s="62">
        <v>20</v>
      </c>
      <c r="BP27" s="143">
        <f>2+10+2.6+1.9+2.3+1.4+0.7+0.8</f>
        <v>21.7</v>
      </c>
      <c r="BQ27" s="13">
        <f t="shared" si="16"/>
        <v>40.42000000000003</v>
      </c>
      <c r="BR27" s="62">
        <v>20</v>
      </c>
      <c r="BS27" s="143">
        <f>1.4+0.8+1.1+3.5+5.5+1.3+1.6+1.5+0.9+2+1.5+1.3+1.7</f>
        <v>24.1</v>
      </c>
      <c r="BT27" s="13">
        <f t="shared" si="17"/>
        <v>36.320000000000029</v>
      </c>
      <c r="BU27" s="62"/>
      <c r="BV27" s="143"/>
      <c r="BW27" s="13">
        <f t="shared" si="18"/>
        <v>36.320000000000029</v>
      </c>
      <c r="BX27" s="62"/>
      <c r="BY27" s="143">
        <f>0.3+0.4+0.2+0.2+0.2</f>
        <v>1.2999999999999998</v>
      </c>
      <c r="BZ27" s="13">
        <f t="shared" si="19"/>
        <v>35.020000000000032</v>
      </c>
      <c r="CA27" s="62"/>
      <c r="CB27" s="143">
        <f>2.2+1.1+1.5</f>
        <v>4.8000000000000007</v>
      </c>
      <c r="CC27" s="13">
        <f t="shared" si="20"/>
        <v>30.220000000000031</v>
      </c>
      <c r="CD27" s="62">
        <v>40</v>
      </c>
      <c r="CE27" s="143">
        <f>10+6+2.6+3.3+1.1+1.9+1.2+1.3+1.5+0.8+5.2</f>
        <v>34.900000000000006</v>
      </c>
      <c r="CF27" s="13">
        <f t="shared" si="21"/>
        <v>35.320000000000022</v>
      </c>
      <c r="CG27" s="62"/>
      <c r="CH27" s="143"/>
      <c r="CI27" s="13">
        <f t="shared" si="31"/>
        <v>35.320000000000022</v>
      </c>
      <c r="CJ27" s="62">
        <v>20</v>
      </c>
      <c r="CK27" s="143">
        <f>10+5.7+1.5+0.8+0.6+1</f>
        <v>19.600000000000001</v>
      </c>
      <c r="CL27" s="13">
        <f t="shared" si="32"/>
        <v>35.72000000000002</v>
      </c>
      <c r="CM27" s="62"/>
      <c r="CN27" s="143">
        <v>2</v>
      </c>
      <c r="CO27" s="13">
        <f t="shared" si="22"/>
        <v>33.72000000000002</v>
      </c>
      <c r="CP27" s="62"/>
      <c r="CQ27" s="143"/>
      <c r="CR27" s="13">
        <f t="shared" si="33"/>
        <v>33.72000000000002</v>
      </c>
      <c r="CS27" s="62"/>
      <c r="CT27" s="143"/>
      <c r="CU27" s="14">
        <f t="shared" si="23"/>
        <v>33.72000000000002</v>
      </c>
      <c r="CV27" s="5">
        <f t="shared" si="24"/>
        <v>350</v>
      </c>
      <c r="CW27" s="4">
        <f t="shared" si="24"/>
        <v>316.39999999999998</v>
      </c>
      <c r="CX27" s="6">
        <f t="shared" si="25"/>
        <v>33.72000000000002</v>
      </c>
      <c r="CY27" s="162">
        <v>180</v>
      </c>
      <c r="CZ27" s="171">
        <f t="shared" si="26"/>
        <v>6069.600000000004</v>
      </c>
      <c r="DB27" s="2">
        <f t="shared" si="34"/>
        <v>33.72000000000002</v>
      </c>
      <c r="DC27" s="61"/>
      <c r="DD27" s="143">
        <f>0.8+5.2+1.3+2.3+1+2.8+1.3+2.6+5.5</f>
        <v>22.8</v>
      </c>
      <c r="DE27" s="149">
        <f t="shared" si="35"/>
        <v>10.920000000000019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0</v>
      </c>
      <c r="G28" s="62">
        <v>20</v>
      </c>
      <c r="H28" s="143"/>
      <c r="I28" s="13">
        <f t="shared" si="0"/>
        <v>20</v>
      </c>
      <c r="J28" s="62"/>
      <c r="K28" s="143"/>
      <c r="L28" s="13">
        <f t="shared" si="1"/>
        <v>20</v>
      </c>
      <c r="M28" s="62"/>
      <c r="N28" s="143"/>
      <c r="O28" s="13">
        <f t="shared" si="2"/>
        <v>20</v>
      </c>
      <c r="P28" s="62"/>
      <c r="Q28" s="143">
        <v>2</v>
      </c>
      <c r="R28" s="30">
        <f t="shared" si="3"/>
        <v>18</v>
      </c>
      <c r="S28" s="62"/>
      <c r="T28" s="143"/>
      <c r="U28" s="13">
        <f t="shared" si="4"/>
        <v>18</v>
      </c>
      <c r="V28" s="62"/>
      <c r="W28" s="143"/>
      <c r="X28" s="13">
        <f t="shared" si="5"/>
        <v>18</v>
      </c>
      <c r="Y28" s="62"/>
      <c r="Z28" s="143">
        <v>1</v>
      </c>
      <c r="AA28" s="13">
        <f t="shared" si="27"/>
        <v>17</v>
      </c>
      <c r="AB28" s="62"/>
      <c r="AC28" s="143">
        <v>2.4</v>
      </c>
      <c r="AD28" s="13">
        <f t="shared" si="28"/>
        <v>14.6</v>
      </c>
      <c r="AE28" s="62"/>
      <c r="AF28" s="143"/>
      <c r="AG28" s="13">
        <f t="shared" si="29"/>
        <v>14.6</v>
      </c>
      <c r="AH28" s="62"/>
      <c r="AI28" s="143">
        <f>2.4</f>
        <v>2.4</v>
      </c>
      <c r="AJ28" s="13">
        <f t="shared" si="30"/>
        <v>12.2</v>
      </c>
      <c r="AK28" s="62"/>
      <c r="AL28" s="143">
        <v>1</v>
      </c>
      <c r="AM28" s="13">
        <f t="shared" si="6"/>
        <v>11.2</v>
      </c>
      <c r="AN28" s="62"/>
      <c r="AO28" s="143">
        <v>2</v>
      </c>
      <c r="AP28" s="13">
        <f t="shared" si="7"/>
        <v>9.1999999999999993</v>
      </c>
      <c r="AQ28" s="62"/>
      <c r="AR28" s="143"/>
      <c r="AS28" s="13">
        <f t="shared" si="8"/>
        <v>9.1999999999999993</v>
      </c>
      <c r="AT28" s="62"/>
      <c r="AU28" s="143"/>
      <c r="AV28" s="13">
        <f t="shared" si="9"/>
        <v>9.1999999999999993</v>
      </c>
      <c r="AW28" s="62"/>
      <c r="AX28" s="143">
        <v>5</v>
      </c>
      <c r="AY28" s="13">
        <f t="shared" si="10"/>
        <v>4.1999999999999993</v>
      </c>
      <c r="AZ28" s="62"/>
      <c r="BA28" s="143"/>
      <c r="BB28" s="13">
        <f t="shared" si="11"/>
        <v>4.1999999999999993</v>
      </c>
      <c r="BC28" s="62">
        <v>20</v>
      </c>
      <c r="BD28" s="143">
        <f>2+1.5</f>
        <v>3.5</v>
      </c>
      <c r="BE28" s="13">
        <f t="shared" si="12"/>
        <v>20.7</v>
      </c>
      <c r="BF28" s="62"/>
      <c r="BG28" s="143"/>
      <c r="BH28" s="13">
        <f t="shared" si="13"/>
        <v>20.7</v>
      </c>
      <c r="BI28" s="62"/>
      <c r="BJ28" s="143">
        <v>1</v>
      </c>
      <c r="BK28" s="13">
        <f t="shared" si="14"/>
        <v>19.7</v>
      </c>
      <c r="BL28" s="62"/>
      <c r="BM28" s="143"/>
      <c r="BN28" s="13">
        <f t="shared" si="15"/>
        <v>19.7</v>
      </c>
      <c r="BO28" s="62"/>
      <c r="BP28" s="143">
        <v>1</v>
      </c>
      <c r="BQ28" s="13">
        <f t="shared" si="16"/>
        <v>18.7</v>
      </c>
      <c r="BR28" s="62"/>
      <c r="BS28" s="143">
        <v>1</v>
      </c>
      <c r="BT28" s="13">
        <f t="shared" si="17"/>
        <v>17.7</v>
      </c>
      <c r="BU28" s="62"/>
      <c r="BV28" s="143"/>
      <c r="BW28" s="13">
        <f t="shared" si="18"/>
        <v>17.7</v>
      </c>
      <c r="BX28" s="62"/>
      <c r="BY28" s="143">
        <v>1</v>
      </c>
      <c r="BZ28" s="13">
        <f t="shared" si="19"/>
        <v>16.7</v>
      </c>
      <c r="CA28" s="62"/>
      <c r="CB28" s="143">
        <v>2</v>
      </c>
      <c r="CC28" s="13">
        <f t="shared" si="20"/>
        <v>14.7</v>
      </c>
      <c r="CD28" s="62"/>
      <c r="CE28" s="143">
        <f>4+4.4</f>
        <v>8.4</v>
      </c>
      <c r="CF28" s="13">
        <f t="shared" si="21"/>
        <v>6.2999999999999989</v>
      </c>
      <c r="CG28" s="62"/>
      <c r="CH28" s="143"/>
      <c r="CI28" s="13">
        <f t="shared" si="31"/>
        <v>6.2999999999999989</v>
      </c>
      <c r="CJ28" s="62"/>
      <c r="CK28" s="143">
        <f>3+3</f>
        <v>6</v>
      </c>
      <c r="CL28" s="13">
        <f t="shared" si="32"/>
        <v>0.29999999999999893</v>
      </c>
      <c r="CM28" s="62"/>
      <c r="CN28" s="143"/>
      <c r="CO28" s="13">
        <f t="shared" si="22"/>
        <v>0.29999999999999893</v>
      </c>
      <c r="CP28" s="62"/>
      <c r="CQ28" s="143"/>
      <c r="CR28" s="13">
        <f t="shared" si="33"/>
        <v>0.29999999999999893</v>
      </c>
      <c r="CS28" s="62"/>
      <c r="CT28" s="143">
        <v>0.28999999999999998</v>
      </c>
      <c r="CU28" s="14">
        <f t="shared" si="23"/>
        <v>9.9999999999989542E-3</v>
      </c>
      <c r="CV28" s="5">
        <f t="shared" si="24"/>
        <v>40</v>
      </c>
      <c r="CW28" s="4">
        <f t="shared" si="24"/>
        <v>39.99</v>
      </c>
      <c r="CX28" s="6">
        <f t="shared" si="25"/>
        <v>9.9999999999989542E-3</v>
      </c>
      <c r="CY28" s="162">
        <v>100</v>
      </c>
      <c r="CZ28" s="171">
        <f t="shared" si="26"/>
        <v>0.99999999999989542</v>
      </c>
      <c r="DB28" s="2">
        <f t="shared" si="34"/>
        <v>9.9999999999989542E-3</v>
      </c>
      <c r="DC28" s="61"/>
      <c r="DD28" s="143"/>
      <c r="DE28" s="149">
        <f t="shared" si="35"/>
        <v>9.9999999999989542E-3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28</v>
      </c>
      <c r="G29" s="62">
        <f>-80+40+40+40</f>
        <v>40</v>
      </c>
      <c r="H29" s="143">
        <f>5+7+16+3</f>
        <v>31</v>
      </c>
      <c r="I29" s="13">
        <f t="shared" si="0"/>
        <v>37</v>
      </c>
      <c r="J29" s="62"/>
      <c r="K29" s="143"/>
      <c r="L29" s="13">
        <f t="shared" si="1"/>
        <v>37</v>
      </c>
      <c r="M29" s="62">
        <f>-45+40+20+40</f>
        <v>55</v>
      </c>
      <c r="N29" s="143">
        <f>5+4+28</f>
        <v>37</v>
      </c>
      <c r="O29" s="13">
        <f t="shared" si="2"/>
        <v>55</v>
      </c>
      <c r="P29" s="62">
        <f>-23+100</f>
        <v>77</v>
      </c>
      <c r="Q29" s="143">
        <f>5+50+3</f>
        <v>58</v>
      </c>
      <c r="R29" s="30">
        <f t="shared" si="3"/>
        <v>74</v>
      </c>
      <c r="S29" s="62">
        <f>-88+50+60+40</f>
        <v>62</v>
      </c>
      <c r="T29" s="143">
        <f>8+9+57</f>
        <v>74</v>
      </c>
      <c r="U29" s="13">
        <f t="shared" si="4"/>
        <v>62</v>
      </c>
      <c r="V29" s="62"/>
      <c r="W29" s="143"/>
      <c r="X29" s="13">
        <f>U29+V29-W29</f>
        <v>62</v>
      </c>
      <c r="Y29" s="62">
        <f>50+20</f>
        <v>70</v>
      </c>
      <c r="Z29" s="143">
        <f>6+4+32+4</f>
        <v>46</v>
      </c>
      <c r="AA29" s="13">
        <f t="shared" si="27"/>
        <v>86</v>
      </c>
      <c r="AB29" s="62">
        <f>-9+30+30</f>
        <v>51</v>
      </c>
      <c r="AC29" s="143">
        <f>6+3+77</f>
        <v>86</v>
      </c>
      <c r="AD29" s="13">
        <f t="shared" si="28"/>
        <v>51</v>
      </c>
      <c r="AE29" s="62"/>
      <c r="AF29" s="143"/>
      <c r="AG29" s="13">
        <f>AD29+AE29-AF29</f>
        <v>51</v>
      </c>
      <c r="AH29" s="62">
        <f>-3+30+30+30</f>
        <v>87</v>
      </c>
      <c r="AI29" s="143">
        <f>3+4+44+16</f>
        <v>67</v>
      </c>
      <c r="AJ29" s="13">
        <f t="shared" si="30"/>
        <v>71</v>
      </c>
      <c r="AK29" s="62">
        <f>-16+40+30+30</f>
        <v>84</v>
      </c>
      <c r="AL29" s="143">
        <f>5+5+61</f>
        <v>71</v>
      </c>
      <c r="AM29" s="13">
        <f t="shared" si="6"/>
        <v>84</v>
      </c>
      <c r="AN29" s="62">
        <f>-69+40+40+40</f>
        <v>51</v>
      </c>
      <c r="AO29" s="143">
        <f>6+5+73+3</f>
        <v>87</v>
      </c>
      <c r="AP29" s="13">
        <f t="shared" si="7"/>
        <v>48</v>
      </c>
      <c r="AQ29" s="62"/>
      <c r="AR29" s="143"/>
      <c r="AS29" s="13">
        <f t="shared" si="8"/>
        <v>48</v>
      </c>
      <c r="AT29" s="62">
        <f>-12+30+30+20</f>
        <v>68</v>
      </c>
      <c r="AU29" s="143">
        <f>3+45</f>
        <v>48</v>
      </c>
      <c r="AV29" s="13">
        <f t="shared" si="9"/>
        <v>68</v>
      </c>
      <c r="AW29" s="62">
        <f>-29+40+20+20</f>
        <v>51</v>
      </c>
      <c r="AX29" s="143">
        <f>3+4+61</f>
        <v>68</v>
      </c>
      <c r="AY29" s="13">
        <f t="shared" si="10"/>
        <v>51</v>
      </c>
      <c r="AZ29" s="62"/>
      <c r="BA29" s="143"/>
      <c r="BB29" s="13">
        <f t="shared" si="11"/>
        <v>51</v>
      </c>
      <c r="BC29" s="62">
        <f>-8+40+20+10</f>
        <v>62</v>
      </c>
      <c r="BD29" s="143">
        <f>2+7+42</f>
        <v>51</v>
      </c>
      <c r="BE29" s="13">
        <f t="shared" si="12"/>
        <v>62</v>
      </c>
      <c r="BF29" s="62">
        <v>50</v>
      </c>
      <c r="BG29" s="143">
        <f>3+28+4</f>
        <v>35</v>
      </c>
      <c r="BH29" s="13">
        <f t="shared" si="13"/>
        <v>77</v>
      </c>
      <c r="BI29" s="62">
        <f>-76+50+30+40</f>
        <v>44</v>
      </c>
      <c r="BJ29" s="143">
        <f>8+13+56</f>
        <v>77</v>
      </c>
      <c r="BK29" s="13">
        <f t="shared" si="14"/>
        <v>44</v>
      </c>
      <c r="BL29" s="62"/>
      <c r="BM29" s="143"/>
      <c r="BN29" s="13">
        <f t="shared" si="15"/>
        <v>44</v>
      </c>
      <c r="BO29" s="62">
        <f>-38+50+30+40</f>
        <v>82</v>
      </c>
      <c r="BP29" s="143">
        <f>3+5+36+4</f>
        <v>48</v>
      </c>
      <c r="BQ29" s="13">
        <f t="shared" si="16"/>
        <v>78</v>
      </c>
      <c r="BR29" s="62">
        <v>40</v>
      </c>
      <c r="BS29" s="143">
        <f>2+7+60+4</f>
        <v>73</v>
      </c>
      <c r="BT29" s="13">
        <f t="shared" si="17"/>
        <v>45</v>
      </c>
      <c r="BU29" s="62"/>
      <c r="BV29" s="143"/>
      <c r="BW29" s="13">
        <f t="shared" si="18"/>
        <v>45</v>
      </c>
      <c r="BX29" s="62">
        <f>-38+40+40+20+10</f>
        <v>72</v>
      </c>
      <c r="BY29" s="143">
        <f>3+6+36+15</f>
        <v>60</v>
      </c>
      <c r="BZ29" s="13">
        <f t="shared" si="19"/>
        <v>57</v>
      </c>
      <c r="CA29" s="62">
        <f>-23+40+40+20+20</f>
        <v>97</v>
      </c>
      <c r="CB29" s="143">
        <f>6+6+45</f>
        <v>57</v>
      </c>
      <c r="CC29" s="13">
        <f t="shared" si="20"/>
        <v>97</v>
      </c>
      <c r="CD29" s="62">
        <f>-43+40+30+30</f>
        <v>57</v>
      </c>
      <c r="CE29" s="143">
        <f>3+13+81</f>
        <v>97</v>
      </c>
      <c r="CF29" s="13">
        <f t="shared" si="21"/>
        <v>57</v>
      </c>
      <c r="CG29" s="62"/>
      <c r="CH29" s="143"/>
      <c r="CI29" s="13">
        <f t="shared" si="31"/>
        <v>57</v>
      </c>
      <c r="CJ29" s="62">
        <f>-13+40+40+60</f>
        <v>127</v>
      </c>
      <c r="CK29" s="143">
        <f>7+50</f>
        <v>57</v>
      </c>
      <c r="CL29" s="13">
        <f t="shared" si="32"/>
        <v>127</v>
      </c>
      <c r="CM29" s="62"/>
      <c r="CN29" s="143">
        <f>6+10+73+20</f>
        <v>109</v>
      </c>
      <c r="CO29" s="13">
        <f t="shared" si="22"/>
        <v>18</v>
      </c>
      <c r="CP29" s="62">
        <v>84</v>
      </c>
      <c r="CQ29" s="143"/>
      <c r="CR29" s="13">
        <f t="shared" si="33"/>
        <v>102</v>
      </c>
      <c r="CS29" s="62"/>
      <c r="CT29" s="143"/>
      <c r="CU29" s="14">
        <f t="shared" si="23"/>
        <v>102</v>
      </c>
      <c r="CV29" s="5">
        <f t="shared" si="24"/>
        <v>1411</v>
      </c>
      <c r="CW29" s="4">
        <f t="shared" si="24"/>
        <v>1337</v>
      </c>
      <c r="CX29" s="6">
        <f t="shared" si="25"/>
        <v>102</v>
      </c>
      <c r="CY29" s="191">
        <v>80</v>
      </c>
      <c r="CZ29" s="171">
        <f t="shared" si="26"/>
        <v>8160</v>
      </c>
      <c r="DB29" s="2">
        <f t="shared" si="34"/>
        <v>102</v>
      </c>
      <c r="DC29" s="61"/>
      <c r="DD29" s="143">
        <f>3</f>
        <v>3</v>
      </c>
      <c r="DE29" s="149">
        <f t="shared" si="35"/>
        <v>99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9</v>
      </c>
      <c r="G32" s="62">
        <f>-65+120</f>
        <v>55</v>
      </c>
      <c r="H32" s="143">
        <f>4+5</f>
        <v>9</v>
      </c>
      <c r="I32" s="13">
        <f t="shared" si="0"/>
        <v>55</v>
      </c>
      <c r="J32" s="62"/>
      <c r="K32" s="143"/>
      <c r="L32" s="13">
        <f t="shared" si="1"/>
        <v>55</v>
      </c>
      <c r="M32" s="62">
        <f>-17+72</f>
        <v>55</v>
      </c>
      <c r="N32" s="143">
        <f>5+50</f>
        <v>55</v>
      </c>
      <c r="O32" s="13">
        <f t="shared" si="2"/>
        <v>55</v>
      </c>
      <c r="P32" s="62">
        <f>-3+96</f>
        <v>93</v>
      </c>
      <c r="Q32" s="143">
        <f>5+50</f>
        <v>55</v>
      </c>
      <c r="R32" s="30">
        <f t="shared" si="3"/>
        <v>93</v>
      </c>
      <c r="S32" s="62">
        <f>-26+96</f>
        <v>70</v>
      </c>
      <c r="T32" s="143">
        <f>6+87</f>
        <v>93</v>
      </c>
      <c r="U32" s="13">
        <f t="shared" si="4"/>
        <v>70</v>
      </c>
      <c r="V32" s="62"/>
      <c r="W32" s="143"/>
      <c r="X32" s="13">
        <f t="shared" si="5"/>
        <v>70</v>
      </c>
      <c r="Y32" s="62">
        <f>-19-5+96</f>
        <v>72</v>
      </c>
      <c r="Z32" s="143">
        <f>4+66-5+1</f>
        <v>66</v>
      </c>
      <c r="AA32" s="13">
        <f t="shared" si="27"/>
        <v>76</v>
      </c>
      <c r="AB32" s="62">
        <f>-48+96</f>
        <v>48</v>
      </c>
      <c r="AC32" s="143">
        <f>8+68-10</f>
        <v>66</v>
      </c>
      <c r="AD32" s="13">
        <f t="shared" si="28"/>
        <v>58</v>
      </c>
      <c r="AE32" s="62"/>
      <c r="AF32" s="143"/>
      <c r="AG32" s="13">
        <f t="shared" si="29"/>
        <v>58</v>
      </c>
      <c r="AH32" s="62">
        <f>-4+72</f>
        <v>68</v>
      </c>
      <c r="AI32" s="143">
        <f>12+46</f>
        <v>58</v>
      </c>
      <c r="AJ32" s="13">
        <f t="shared" si="30"/>
        <v>68</v>
      </c>
      <c r="AK32" s="62">
        <f>-15+96</f>
        <v>81</v>
      </c>
      <c r="AL32" s="143">
        <f>18+50</f>
        <v>68</v>
      </c>
      <c r="AM32" s="13">
        <f t="shared" si="6"/>
        <v>81</v>
      </c>
      <c r="AN32" s="62">
        <f>-98+144</f>
        <v>46</v>
      </c>
      <c r="AO32" s="143">
        <f>16+65+6</f>
        <v>87</v>
      </c>
      <c r="AP32" s="13">
        <f t="shared" si="7"/>
        <v>40</v>
      </c>
      <c r="AQ32" s="62"/>
      <c r="AR32" s="143"/>
      <c r="AS32" s="13">
        <f t="shared" si="8"/>
        <v>40</v>
      </c>
      <c r="AT32" s="62">
        <f>-25+96+2</f>
        <v>73</v>
      </c>
      <c r="AU32" s="143">
        <v>40</v>
      </c>
      <c r="AV32" s="13">
        <f t="shared" si="9"/>
        <v>73</v>
      </c>
      <c r="AW32" s="62">
        <f>-24+72</f>
        <v>48</v>
      </c>
      <c r="AX32" s="143">
        <f>12+61</f>
        <v>73</v>
      </c>
      <c r="AY32" s="13">
        <f t="shared" si="10"/>
        <v>48</v>
      </c>
      <c r="AZ32" s="62"/>
      <c r="BA32" s="143"/>
      <c r="BB32" s="13">
        <f t="shared" si="11"/>
        <v>48</v>
      </c>
      <c r="BC32" s="62">
        <v>72</v>
      </c>
      <c r="BD32" s="143">
        <f>4+32</f>
        <v>36</v>
      </c>
      <c r="BE32" s="13">
        <f t="shared" si="12"/>
        <v>84</v>
      </c>
      <c r="BF32" s="62">
        <v>72</v>
      </c>
      <c r="BG32" s="143">
        <f>4+57</f>
        <v>61</v>
      </c>
      <c r="BH32" s="13">
        <f t="shared" si="13"/>
        <v>95</v>
      </c>
      <c r="BI32" s="62">
        <f>-55+120</f>
        <v>65</v>
      </c>
      <c r="BJ32" s="143">
        <f>12+83</f>
        <v>95</v>
      </c>
      <c r="BK32" s="13">
        <f t="shared" si="14"/>
        <v>65</v>
      </c>
      <c r="BL32" s="62"/>
      <c r="BM32" s="143"/>
      <c r="BN32" s="13">
        <f t="shared" si="15"/>
        <v>65</v>
      </c>
      <c r="BO32" s="62">
        <f>-31+96</f>
        <v>65</v>
      </c>
      <c r="BP32" s="143">
        <f>6+59</f>
        <v>65</v>
      </c>
      <c r="BQ32" s="13">
        <f t="shared" si="16"/>
        <v>65</v>
      </c>
      <c r="BR32" s="62">
        <v>72</v>
      </c>
      <c r="BS32" s="143">
        <f>4+56+2+9</f>
        <v>71</v>
      </c>
      <c r="BT32" s="13">
        <f t="shared" si="17"/>
        <v>66</v>
      </c>
      <c r="BU32" s="62"/>
      <c r="BV32" s="143"/>
      <c r="BW32" s="13">
        <f t="shared" si="18"/>
        <v>66</v>
      </c>
      <c r="BX32" s="62">
        <f>-13+96</f>
        <v>83</v>
      </c>
      <c r="BY32" s="143">
        <f>8+58</f>
        <v>66</v>
      </c>
      <c r="BZ32" s="13">
        <f t="shared" si="19"/>
        <v>83</v>
      </c>
      <c r="CA32" s="62">
        <f>96</f>
        <v>96</v>
      </c>
      <c r="CB32" s="143">
        <f>8+75</f>
        <v>83</v>
      </c>
      <c r="CC32" s="13">
        <f t="shared" si="20"/>
        <v>96</v>
      </c>
      <c r="CD32" s="62">
        <f>-53+120</f>
        <v>67</v>
      </c>
      <c r="CE32" s="143">
        <f>8+88+6</f>
        <v>102</v>
      </c>
      <c r="CF32" s="13">
        <f t="shared" si="21"/>
        <v>61</v>
      </c>
      <c r="CG32" s="62"/>
      <c r="CH32" s="143"/>
      <c r="CI32" s="13">
        <f t="shared" si="31"/>
        <v>61</v>
      </c>
      <c r="CJ32" s="62">
        <f>-33+144+24</f>
        <v>135</v>
      </c>
      <c r="CK32" s="143">
        <v>61</v>
      </c>
      <c r="CL32" s="13">
        <f t="shared" si="32"/>
        <v>135</v>
      </c>
      <c r="CM32" s="62"/>
      <c r="CN32" s="143">
        <f>14+50+24</f>
        <v>88</v>
      </c>
      <c r="CO32" s="13">
        <f t="shared" si="22"/>
        <v>47</v>
      </c>
      <c r="CP32" s="62">
        <v>72</v>
      </c>
      <c r="CQ32" s="143"/>
      <c r="CR32" s="13">
        <f t="shared" si="33"/>
        <v>119</v>
      </c>
      <c r="CS32" s="62"/>
      <c r="CT32" s="143"/>
      <c r="CU32" s="14">
        <f t="shared" si="23"/>
        <v>119</v>
      </c>
      <c r="CV32" s="5">
        <f t="shared" si="24"/>
        <v>1508</v>
      </c>
      <c r="CW32" s="4">
        <f t="shared" si="24"/>
        <v>1398</v>
      </c>
      <c r="CX32" s="6">
        <f t="shared" si="25"/>
        <v>119</v>
      </c>
      <c r="CY32" s="191">
        <v>75</v>
      </c>
      <c r="CZ32" s="171">
        <f t="shared" si="26"/>
        <v>8925</v>
      </c>
      <c r="DB32" s="2">
        <f t="shared" si="34"/>
        <v>119</v>
      </c>
      <c r="DC32" s="61"/>
      <c r="DD32" s="143">
        <f>24</f>
        <v>24</v>
      </c>
      <c r="DE32" s="149">
        <f t="shared" si="35"/>
        <v>95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1</v>
      </c>
      <c r="G35" s="62">
        <v>4</v>
      </c>
      <c r="H35" s="143"/>
      <c r="I35" s="13">
        <f t="shared" si="0"/>
        <v>5</v>
      </c>
      <c r="J35" s="62"/>
      <c r="K35" s="143"/>
      <c r="L35" s="13">
        <f>I35+J35-K35</f>
        <v>5</v>
      </c>
      <c r="M35" s="62"/>
      <c r="N35" s="143">
        <v>2</v>
      </c>
      <c r="O35" s="13">
        <f t="shared" si="2"/>
        <v>3</v>
      </c>
      <c r="P35" s="62"/>
      <c r="Q35" s="143">
        <v>1</v>
      </c>
      <c r="R35" s="30">
        <f t="shared" si="3"/>
        <v>2</v>
      </c>
      <c r="S35" s="62">
        <v>3</v>
      </c>
      <c r="T35" s="143">
        <v>1</v>
      </c>
      <c r="U35" s="13">
        <f t="shared" si="4"/>
        <v>4</v>
      </c>
      <c r="V35" s="62"/>
      <c r="W35" s="143"/>
      <c r="X35" s="13">
        <f t="shared" si="5"/>
        <v>4</v>
      </c>
      <c r="Y35" s="62"/>
      <c r="Z35" s="143">
        <v>1</v>
      </c>
      <c r="AA35" s="13">
        <f t="shared" si="27"/>
        <v>3</v>
      </c>
      <c r="AB35" s="62"/>
      <c r="AC35" s="143">
        <v>1</v>
      </c>
      <c r="AD35" s="13">
        <f t="shared" si="28"/>
        <v>2</v>
      </c>
      <c r="AE35" s="62"/>
      <c r="AF35" s="143"/>
      <c r="AG35" s="13">
        <f t="shared" si="29"/>
        <v>2</v>
      </c>
      <c r="AH35" s="62"/>
      <c r="AI35" s="143">
        <v>1</v>
      </c>
      <c r="AJ35" s="13">
        <f t="shared" si="30"/>
        <v>1</v>
      </c>
      <c r="AK35" s="62">
        <v>1</v>
      </c>
      <c r="AL35" s="143"/>
      <c r="AM35" s="13">
        <f t="shared" si="6"/>
        <v>2</v>
      </c>
      <c r="AN35" s="62"/>
      <c r="AO35" s="143">
        <v>2</v>
      </c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>
        <v>2</v>
      </c>
      <c r="CK35" s="143"/>
      <c r="CL35" s="13">
        <f t="shared" si="32"/>
        <v>2</v>
      </c>
      <c r="CM35" s="62"/>
      <c r="CN35" s="143"/>
      <c r="CO35" s="13">
        <f t="shared" si="22"/>
        <v>2</v>
      </c>
      <c r="CP35" s="62"/>
      <c r="CQ35" s="143"/>
      <c r="CR35" s="13">
        <f t="shared" si="33"/>
        <v>2</v>
      </c>
      <c r="CS35" s="62"/>
      <c r="CT35" s="143"/>
      <c r="CU35" s="14">
        <f t="shared" si="23"/>
        <v>2</v>
      </c>
      <c r="CV35" s="5">
        <f t="shared" si="24"/>
        <v>10</v>
      </c>
      <c r="CW35" s="4">
        <f t="shared" si="24"/>
        <v>9</v>
      </c>
      <c r="CX35" s="6">
        <f t="shared" si="25"/>
        <v>2</v>
      </c>
      <c r="CY35" s="162">
        <v>450</v>
      </c>
      <c r="CZ35" s="171">
        <f t="shared" si="26"/>
        <v>900</v>
      </c>
      <c r="DB35" s="2">
        <f t="shared" si="34"/>
        <v>2</v>
      </c>
      <c r="DC35" s="61"/>
      <c r="DD35" s="143">
        <v>2</v>
      </c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4</v>
      </c>
      <c r="G36" s="62">
        <f>-5+5+4+2</f>
        <v>6</v>
      </c>
      <c r="H36" s="143">
        <f>4+1</f>
        <v>5</v>
      </c>
      <c r="I36" s="13">
        <f t="shared" si="0"/>
        <v>5</v>
      </c>
      <c r="J36" s="62"/>
      <c r="K36" s="143"/>
      <c r="L36" s="13">
        <f t="shared" si="1"/>
        <v>5</v>
      </c>
      <c r="M36" s="62">
        <f>2+4+1</f>
        <v>7</v>
      </c>
      <c r="N36" s="143">
        <v>5</v>
      </c>
      <c r="O36" s="13">
        <f t="shared" si="2"/>
        <v>7</v>
      </c>
      <c r="P36" s="62">
        <f>-2+4+2+2</f>
        <v>6</v>
      </c>
      <c r="Q36" s="143">
        <v>7</v>
      </c>
      <c r="R36" s="30">
        <f t="shared" si="3"/>
        <v>6</v>
      </c>
      <c r="S36" s="62">
        <f>-5+4+2-5+10</f>
        <v>6</v>
      </c>
      <c r="T36" s="143">
        <f>6</f>
        <v>6</v>
      </c>
      <c r="U36" s="13">
        <f t="shared" si="4"/>
        <v>6</v>
      </c>
      <c r="V36" s="62"/>
      <c r="W36" s="143"/>
      <c r="X36" s="13">
        <f t="shared" si="5"/>
        <v>6</v>
      </c>
      <c r="Y36" s="62">
        <f>-3+7+4</f>
        <v>8</v>
      </c>
      <c r="Z36" s="143">
        <f>6+2</f>
        <v>8</v>
      </c>
      <c r="AA36" s="13">
        <f t="shared" si="27"/>
        <v>6</v>
      </c>
      <c r="AB36" s="62">
        <f>4+2+3</f>
        <v>9</v>
      </c>
      <c r="AC36" s="143">
        <v>5</v>
      </c>
      <c r="AD36" s="13">
        <f t="shared" si="28"/>
        <v>10</v>
      </c>
      <c r="AE36" s="62"/>
      <c r="AF36" s="143"/>
      <c r="AG36" s="13">
        <f t="shared" si="29"/>
        <v>10</v>
      </c>
      <c r="AH36" s="62">
        <v>6</v>
      </c>
      <c r="AI36" s="143">
        <v>6</v>
      </c>
      <c r="AJ36" s="13">
        <f t="shared" si="30"/>
        <v>10</v>
      </c>
      <c r="AK36" s="62">
        <f>4+2+2</f>
        <v>8</v>
      </c>
      <c r="AL36" s="143">
        <v>6</v>
      </c>
      <c r="AM36" s="13">
        <f t="shared" si="6"/>
        <v>12</v>
      </c>
      <c r="AN36" s="62">
        <f>4+2</f>
        <v>6</v>
      </c>
      <c r="AO36" s="143">
        <v>7</v>
      </c>
      <c r="AP36" s="13">
        <f t="shared" si="7"/>
        <v>11</v>
      </c>
      <c r="AQ36" s="62"/>
      <c r="AR36" s="143"/>
      <c r="AS36" s="13">
        <f t="shared" si="8"/>
        <v>11</v>
      </c>
      <c r="AT36" s="62">
        <v>11</v>
      </c>
      <c r="AU36" s="143">
        <f>8+1</f>
        <v>9</v>
      </c>
      <c r="AV36" s="13">
        <f t="shared" si="9"/>
        <v>13</v>
      </c>
      <c r="AW36" s="62">
        <f>4+2+2</f>
        <v>8</v>
      </c>
      <c r="AX36" s="143">
        <f>9+4</f>
        <v>13</v>
      </c>
      <c r="AY36" s="13">
        <f t="shared" si="10"/>
        <v>8</v>
      </c>
      <c r="AZ36" s="62"/>
      <c r="BA36" s="143"/>
      <c r="BB36" s="13">
        <f t="shared" si="11"/>
        <v>8</v>
      </c>
      <c r="BC36" s="62">
        <v>11</v>
      </c>
      <c r="BD36" s="143">
        <f>8+1</f>
        <v>9</v>
      </c>
      <c r="BE36" s="13">
        <f t="shared" si="12"/>
        <v>10</v>
      </c>
      <c r="BF36" s="62">
        <f>4+2</f>
        <v>6</v>
      </c>
      <c r="BG36" s="143">
        <v>4</v>
      </c>
      <c r="BH36" s="13">
        <f t="shared" si="13"/>
        <v>12</v>
      </c>
      <c r="BI36" s="62">
        <f>4+2+2</f>
        <v>8</v>
      </c>
      <c r="BJ36" s="143">
        <v>10</v>
      </c>
      <c r="BK36" s="13">
        <f t="shared" si="14"/>
        <v>10</v>
      </c>
      <c r="BL36" s="62"/>
      <c r="BM36" s="143"/>
      <c r="BN36" s="13">
        <f t="shared" si="15"/>
        <v>10</v>
      </c>
      <c r="BO36" s="62">
        <f>3+11</f>
        <v>14</v>
      </c>
      <c r="BP36" s="143">
        <f>7+3+1</f>
        <v>11</v>
      </c>
      <c r="BQ36" s="13">
        <f t="shared" si="16"/>
        <v>13</v>
      </c>
      <c r="BR36" s="62">
        <f>4+2+1</f>
        <v>7</v>
      </c>
      <c r="BS36" s="143">
        <v>10</v>
      </c>
      <c r="BT36" s="13">
        <f t="shared" si="17"/>
        <v>10</v>
      </c>
      <c r="BU36" s="62"/>
      <c r="BV36" s="143"/>
      <c r="BW36" s="13">
        <f t="shared" si="18"/>
        <v>10</v>
      </c>
      <c r="BX36" s="62">
        <v>11</v>
      </c>
      <c r="BY36" s="143">
        <v>7</v>
      </c>
      <c r="BZ36" s="13">
        <f t="shared" si="19"/>
        <v>14</v>
      </c>
      <c r="CA36" s="62">
        <f>2+4+6</f>
        <v>12</v>
      </c>
      <c r="CB36" s="143">
        <v>8</v>
      </c>
      <c r="CC36" s="13">
        <f t="shared" si="20"/>
        <v>18</v>
      </c>
      <c r="CD36" s="62">
        <f>4+2+8-5</f>
        <v>9</v>
      </c>
      <c r="CE36" s="143">
        <v>9</v>
      </c>
      <c r="CF36" s="13">
        <f t="shared" si="21"/>
        <v>18</v>
      </c>
      <c r="CG36" s="62"/>
      <c r="CH36" s="143"/>
      <c r="CI36" s="13">
        <f t="shared" si="31"/>
        <v>18</v>
      </c>
      <c r="CJ36" s="62">
        <f>2+4+8</f>
        <v>14</v>
      </c>
      <c r="CK36" s="143">
        <f>8+5</f>
        <v>13</v>
      </c>
      <c r="CL36" s="13">
        <f t="shared" si="32"/>
        <v>19</v>
      </c>
      <c r="CM36" s="62"/>
      <c r="CN36" s="143">
        <v>9</v>
      </c>
      <c r="CO36" s="13">
        <f t="shared" si="22"/>
        <v>10</v>
      </c>
      <c r="CP36" s="62">
        <f>4+2</f>
        <v>6</v>
      </c>
      <c r="CQ36" s="143"/>
      <c r="CR36" s="13">
        <f t="shared" si="33"/>
        <v>16</v>
      </c>
      <c r="CS36" s="62"/>
      <c r="CT36" s="143"/>
      <c r="CU36" s="14">
        <f t="shared" si="23"/>
        <v>16</v>
      </c>
      <c r="CV36" s="5">
        <f t="shared" si="24"/>
        <v>179</v>
      </c>
      <c r="CW36" s="4">
        <f t="shared" si="24"/>
        <v>167</v>
      </c>
      <c r="CX36" s="6">
        <f t="shared" si="25"/>
        <v>16</v>
      </c>
      <c r="CY36" s="162">
        <v>2000</v>
      </c>
      <c r="CZ36" s="171">
        <f t="shared" si="26"/>
        <v>32000</v>
      </c>
      <c r="DB36" s="2">
        <f t="shared" si="34"/>
        <v>16</v>
      </c>
      <c r="DC36" s="61"/>
      <c r="DD36" s="143"/>
      <c r="DE36" s="149">
        <f t="shared" si="35"/>
        <v>16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9</v>
      </c>
      <c r="G39" s="62">
        <f>-5+10</f>
        <v>5</v>
      </c>
      <c r="H39" s="143">
        <f>1+8+3</f>
        <v>12</v>
      </c>
      <c r="I39" s="13">
        <f t="shared" si="0"/>
        <v>2</v>
      </c>
      <c r="J39" s="62"/>
      <c r="K39" s="143"/>
      <c r="L39" s="13">
        <f t="shared" si="1"/>
        <v>2</v>
      </c>
      <c r="M39" s="62">
        <f>-3+10</f>
        <v>7</v>
      </c>
      <c r="N39" s="143">
        <f>1+1</f>
        <v>2</v>
      </c>
      <c r="O39" s="13">
        <f t="shared" si="2"/>
        <v>7</v>
      </c>
      <c r="P39" s="62">
        <v>10</v>
      </c>
      <c r="Q39" s="143">
        <f>4</f>
        <v>4</v>
      </c>
      <c r="R39" s="30">
        <f t="shared" si="3"/>
        <v>13</v>
      </c>
      <c r="S39" s="62"/>
      <c r="T39" s="143">
        <f>2+4</f>
        <v>6</v>
      </c>
      <c r="U39" s="13">
        <f t="shared" si="4"/>
        <v>7</v>
      </c>
      <c r="V39" s="62"/>
      <c r="W39" s="143"/>
      <c r="X39" s="13">
        <f t="shared" si="5"/>
        <v>7</v>
      </c>
      <c r="Y39" s="62">
        <v>10</v>
      </c>
      <c r="Z39" s="143">
        <f>2+7</f>
        <v>9</v>
      </c>
      <c r="AA39" s="13">
        <f t="shared" si="27"/>
        <v>8</v>
      </c>
      <c r="AB39" s="62">
        <v>10</v>
      </c>
      <c r="AC39" s="143">
        <f>1+5</f>
        <v>6</v>
      </c>
      <c r="AD39" s="13">
        <f t="shared" si="28"/>
        <v>12</v>
      </c>
      <c r="AE39" s="62"/>
      <c r="AF39" s="143"/>
      <c r="AG39" s="13">
        <f t="shared" si="29"/>
        <v>12</v>
      </c>
      <c r="AH39" s="62"/>
      <c r="AI39" s="143">
        <f>1</f>
        <v>1</v>
      </c>
      <c r="AJ39" s="13">
        <f t="shared" si="30"/>
        <v>11</v>
      </c>
      <c r="AK39" s="62"/>
      <c r="AL39" s="143">
        <f>3</f>
        <v>3</v>
      </c>
      <c r="AM39" s="13">
        <f t="shared" si="6"/>
        <v>8</v>
      </c>
      <c r="AN39" s="62"/>
      <c r="AO39" s="143">
        <f>1+4</f>
        <v>5</v>
      </c>
      <c r="AP39" s="13">
        <f t="shared" si="7"/>
        <v>3</v>
      </c>
      <c r="AQ39" s="62"/>
      <c r="AR39" s="143"/>
      <c r="AS39" s="13">
        <f t="shared" si="8"/>
        <v>3</v>
      </c>
      <c r="AT39" s="62">
        <v>10</v>
      </c>
      <c r="AU39" s="143">
        <f>1+1</f>
        <v>2</v>
      </c>
      <c r="AV39" s="13">
        <f t="shared" si="9"/>
        <v>11</v>
      </c>
      <c r="AW39" s="62">
        <v>10</v>
      </c>
      <c r="AX39" s="143">
        <f>1+5+3</f>
        <v>9</v>
      </c>
      <c r="AY39" s="13">
        <f t="shared" si="10"/>
        <v>12</v>
      </c>
      <c r="AZ39" s="62"/>
      <c r="BA39" s="143"/>
      <c r="BB39" s="13">
        <f t="shared" si="11"/>
        <v>12</v>
      </c>
      <c r="BC39" s="62"/>
      <c r="BD39" s="143">
        <f>2+2</f>
        <v>4</v>
      </c>
      <c r="BE39" s="13">
        <f t="shared" si="12"/>
        <v>8</v>
      </c>
      <c r="BF39" s="62">
        <v>10</v>
      </c>
      <c r="BG39" s="143">
        <f>1+3</f>
        <v>4</v>
      </c>
      <c r="BH39" s="13">
        <f t="shared" si="13"/>
        <v>14</v>
      </c>
      <c r="BI39" s="62">
        <v>10</v>
      </c>
      <c r="BJ39" s="143">
        <f>2+8+2</f>
        <v>12</v>
      </c>
      <c r="BK39" s="13">
        <f t="shared" si="14"/>
        <v>12</v>
      </c>
      <c r="BL39" s="62"/>
      <c r="BM39" s="143"/>
      <c r="BN39" s="13">
        <f t="shared" si="15"/>
        <v>12</v>
      </c>
      <c r="BO39" s="62">
        <v>10</v>
      </c>
      <c r="BP39" s="143">
        <f>1+8+7</f>
        <v>16</v>
      </c>
      <c r="BQ39" s="13">
        <f t="shared" si="16"/>
        <v>6</v>
      </c>
      <c r="BR39" s="62">
        <f>-3+10</f>
        <v>7</v>
      </c>
      <c r="BS39" s="143">
        <v>10</v>
      </c>
      <c r="BT39" s="13">
        <f t="shared" si="17"/>
        <v>3</v>
      </c>
      <c r="BU39" s="62"/>
      <c r="BV39" s="143"/>
      <c r="BW39" s="13">
        <f t="shared" si="18"/>
        <v>3</v>
      </c>
      <c r="BX39" s="62">
        <f>-1+10</f>
        <v>9</v>
      </c>
      <c r="BY39" s="143">
        <f>3+1+1+1</f>
        <v>6</v>
      </c>
      <c r="BZ39" s="13">
        <f t="shared" si="19"/>
        <v>6</v>
      </c>
      <c r="CA39" s="62"/>
      <c r="CB39" s="143">
        <f>4</f>
        <v>4</v>
      </c>
      <c r="CC39" s="13">
        <f t="shared" si="20"/>
        <v>2</v>
      </c>
      <c r="CD39" s="62">
        <f>-5+10</f>
        <v>5</v>
      </c>
      <c r="CE39" s="143">
        <v>2</v>
      </c>
      <c r="CF39" s="13">
        <f t="shared" si="21"/>
        <v>5</v>
      </c>
      <c r="CG39" s="62"/>
      <c r="CH39" s="143"/>
      <c r="CI39" s="13">
        <f t="shared" si="31"/>
        <v>5</v>
      </c>
      <c r="CJ39" s="62">
        <v>10</v>
      </c>
      <c r="CK39" s="143">
        <v>4</v>
      </c>
      <c r="CL39" s="13">
        <f t="shared" si="32"/>
        <v>11</v>
      </c>
      <c r="CM39" s="62"/>
      <c r="CN39" s="143">
        <f>1+1</f>
        <v>2</v>
      </c>
      <c r="CO39" s="13">
        <f t="shared" si="22"/>
        <v>9</v>
      </c>
      <c r="CP39" s="62">
        <v>10</v>
      </c>
      <c r="CQ39" s="143"/>
      <c r="CR39" s="13">
        <f t="shared" si="33"/>
        <v>19</v>
      </c>
      <c r="CS39" s="62"/>
      <c r="CT39" s="143"/>
      <c r="CU39" s="14">
        <f t="shared" si="23"/>
        <v>19</v>
      </c>
      <c r="CV39" s="5">
        <f t="shared" si="36"/>
        <v>133</v>
      </c>
      <c r="CW39" s="4">
        <f t="shared" si="36"/>
        <v>123</v>
      </c>
      <c r="CX39" s="6">
        <f t="shared" si="25"/>
        <v>19</v>
      </c>
      <c r="CY39" s="191">
        <v>100</v>
      </c>
      <c r="CZ39" s="171">
        <f t="shared" si="26"/>
        <v>1900</v>
      </c>
      <c r="DB39" s="2">
        <f t="shared" si="34"/>
        <v>19</v>
      </c>
      <c r="DC39" s="61"/>
      <c r="DD39" s="143"/>
      <c r="DE39" s="149">
        <f t="shared" si="35"/>
        <v>19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14.39999999999997</v>
      </c>
      <c r="G40" s="62">
        <v>30</v>
      </c>
      <c r="H40" s="143">
        <f>1.1+0.9+0.7+0.7+1+0.8+1.8+1.9+0.7+0.4+1+1.2+0.7+0.8+1.6</f>
        <v>15.299999999999999</v>
      </c>
      <c r="I40" s="13">
        <f t="shared" si="0"/>
        <v>29.099999999999973</v>
      </c>
      <c r="J40" s="62"/>
      <c r="K40" s="143">
        <f>0.6</f>
        <v>0.6</v>
      </c>
      <c r="L40" s="13">
        <f t="shared" si="1"/>
        <v>28.499999999999972</v>
      </c>
      <c r="M40" s="62"/>
      <c r="N40" s="143">
        <f>1+1.2+0.3+0.2+0.2+0.2+0.1+0.4</f>
        <v>3.6000000000000005</v>
      </c>
      <c r="O40" s="13">
        <f t="shared" si="2"/>
        <v>24.89999999999997</v>
      </c>
      <c r="P40" s="62"/>
      <c r="Q40" s="143">
        <f>1.1+1.5+0.6</f>
        <v>3.2</v>
      </c>
      <c r="R40" s="30">
        <f t="shared" si="3"/>
        <v>21.699999999999971</v>
      </c>
      <c r="S40" s="62">
        <v>20</v>
      </c>
      <c r="T40" s="143">
        <f>1+4.2+1.2+2+1+1.2+1.1+0.9+0.7+1.8+1.4+0.9+1.4+2.9</f>
        <v>21.699999999999996</v>
      </c>
      <c r="U40" s="13">
        <f t="shared" si="4"/>
        <v>19.999999999999979</v>
      </c>
      <c r="V40" s="62"/>
      <c r="W40" s="143"/>
      <c r="X40" s="13">
        <f t="shared" si="5"/>
        <v>19.999999999999979</v>
      </c>
      <c r="Y40" s="62">
        <v>20</v>
      </c>
      <c r="Z40" s="143">
        <f>1.1+1.8+2.6+2.1+0.7+0.3</f>
        <v>8.6</v>
      </c>
      <c r="AA40" s="13">
        <f t="shared" si="27"/>
        <v>31.399999999999977</v>
      </c>
      <c r="AB40" s="62">
        <v>10</v>
      </c>
      <c r="AC40" s="143">
        <f>2+2.2+1.3+1.2+1.1+1.4+1+0.7+1.2+1.1+1.5+1.3+1.6+0.8</f>
        <v>18.400000000000002</v>
      </c>
      <c r="AD40" s="13">
        <f t="shared" si="28"/>
        <v>22.999999999999975</v>
      </c>
      <c r="AE40" s="62"/>
      <c r="AF40" s="143"/>
      <c r="AG40" s="13">
        <f t="shared" si="29"/>
        <v>22.999999999999975</v>
      </c>
      <c r="AH40" s="62"/>
      <c r="AI40" s="143">
        <f>1+1.3+0.2+0.1+0.3+0.2+0.2+0.3+3.4+3.6</f>
        <v>10.6</v>
      </c>
      <c r="AJ40" s="13">
        <f t="shared" si="30"/>
        <v>12.399999999999975</v>
      </c>
      <c r="AK40" s="62"/>
      <c r="AL40" s="143">
        <f>1.4+1.9+1.2</f>
        <v>4.5</v>
      </c>
      <c r="AM40" s="13">
        <f t="shared" si="6"/>
        <v>7.8999999999999755</v>
      </c>
      <c r="AN40" s="62">
        <v>30</v>
      </c>
      <c r="AO40" s="143">
        <f>1.2+1.9+1.1+1+2.4+0.9+0.9+1.2+2.3+1.3+1.8+0.9</f>
        <v>16.899999999999999</v>
      </c>
      <c r="AP40" s="13">
        <f t="shared" si="7"/>
        <v>20.999999999999979</v>
      </c>
      <c r="AQ40" s="62"/>
      <c r="AR40" s="143"/>
      <c r="AS40" s="13">
        <f t="shared" si="8"/>
        <v>20.999999999999979</v>
      </c>
      <c r="AT40" s="62">
        <v>20</v>
      </c>
      <c r="AU40" s="143">
        <f>1+2.3+0.8+1.8+1.4+1.5+0.6+2+0.3</f>
        <v>11.7</v>
      </c>
      <c r="AV40" s="13">
        <f t="shared" si="9"/>
        <v>29.299999999999979</v>
      </c>
      <c r="AW40" s="62">
        <v>20</v>
      </c>
      <c r="AX40" s="143">
        <f>1+0.6+1.3+1.7+0.7+1.4+1.5+0.6+1.9+2+0.8+1.3+1.5+0.7+0.9+2</f>
        <v>19.900000000000002</v>
      </c>
      <c r="AY40" s="13">
        <f t="shared" si="10"/>
        <v>29.399999999999981</v>
      </c>
      <c r="AZ40" s="62"/>
      <c r="BA40" s="143"/>
      <c r="BB40" s="13">
        <f t="shared" si="11"/>
        <v>29.399999999999981</v>
      </c>
      <c r="BC40" s="62"/>
      <c r="BD40" s="143">
        <f>1+1.3+0.3+0.2+0.2+0.2+0.3</f>
        <v>3.5</v>
      </c>
      <c r="BE40" s="13">
        <f t="shared" si="12"/>
        <v>25.899999999999981</v>
      </c>
      <c r="BF40" s="62"/>
      <c r="BG40" s="143">
        <f>1.1+0.7+1.2</f>
        <v>3</v>
      </c>
      <c r="BH40" s="13">
        <f t="shared" si="13"/>
        <v>22.899999999999981</v>
      </c>
      <c r="BI40" s="62">
        <v>30</v>
      </c>
      <c r="BJ40" s="143">
        <f>2+1.1+1.2+0.9+0.9+1.3+1.2+1.9+0.9+0.7+4.5</f>
        <v>16.600000000000001</v>
      </c>
      <c r="BK40" s="13">
        <f t="shared" si="14"/>
        <v>36.299999999999976</v>
      </c>
      <c r="BL40" s="62"/>
      <c r="BM40" s="143"/>
      <c r="BN40" s="13">
        <f t="shared" si="15"/>
        <v>36.299999999999976</v>
      </c>
      <c r="BO40" s="62"/>
      <c r="BP40" s="143">
        <f>0.6+0.8+0.4+1.3+1+0.8+1.2</f>
        <v>6.1</v>
      </c>
      <c r="BQ40" s="13">
        <f t="shared" si="16"/>
        <v>30.199999999999974</v>
      </c>
      <c r="BR40" s="62">
        <v>10</v>
      </c>
      <c r="BS40" s="143">
        <f>2+0.9+1.3+1.3+1.5+0.7+1.5+1+0.8+0.9+1.8+1.1+1.7+1.1</f>
        <v>17.600000000000001</v>
      </c>
      <c r="BT40" s="13">
        <f t="shared" si="17"/>
        <v>22.599999999999973</v>
      </c>
      <c r="BU40" s="62"/>
      <c r="BV40" s="143"/>
      <c r="BW40" s="13">
        <f t="shared" si="18"/>
        <v>22.599999999999973</v>
      </c>
      <c r="BX40" s="62"/>
      <c r="BY40" s="143">
        <f>1.3+0.2+0.2+0.2+0.2+4.4</f>
        <v>6.5</v>
      </c>
      <c r="BZ40" s="13">
        <f t="shared" si="19"/>
        <v>16.099999999999973</v>
      </c>
      <c r="CA40" s="62">
        <v>20</v>
      </c>
      <c r="CB40" s="143">
        <f>1.5+1.3+1.3</f>
        <v>4.0999999999999996</v>
      </c>
      <c r="CC40" s="13">
        <f t="shared" si="20"/>
        <v>31.999999999999972</v>
      </c>
      <c r="CD40" s="62"/>
      <c r="CE40" s="143">
        <f>1.1+0.8+1.9+1.8+2.3+1.4+0.9+1.5+0.4</f>
        <v>12.1</v>
      </c>
      <c r="CF40" s="13">
        <f t="shared" si="21"/>
        <v>19.89999999999997</v>
      </c>
      <c r="CG40" s="62"/>
      <c r="CH40" s="143"/>
      <c r="CI40" s="13">
        <f t="shared" si="31"/>
        <v>19.89999999999997</v>
      </c>
      <c r="CJ40" s="62">
        <v>10</v>
      </c>
      <c r="CK40" s="143">
        <f>0.9+1+1.6+2.7+1+1.4+2+1+1.2+0.4+3.2</f>
        <v>16.399999999999999</v>
      </c>
      <c r="CL40" s="13">
        <f t="shared" si="32"/>
        <v>13.499999999999972</v>
      </c>
      <c r="CM40" s="62"/>
      <c r="CN40" s="143">
        <f>1</f>
        <v>1</v>
      </c>
      <c r="CO40" s="13">
        <f t="shared" si="22"/>
        <v>12.499999999999972</v>
      </c>
      <c r="CP40" s="62"/>
      <c r="CQ40" s="143"/>
      <c r="CR40" s="13">
        <f t="shared" si="33"/>
        <v>12.499999999999972</v>
      </c>
      <c r="CS40" s="62"/>
      <c r="CT40" s="143"/>
      <c r="CU40" s="14">
        <f t="shared" si="23"/>
        <v>12.499999999999972</v>
      </c>
      <c r="CV40" s="5">
        <f t="shared" si="36"/>
        <v>220</v>
      </c>
      <c r="CW40" s="4">
        <f t="shared" si="36"/>
        <v>221.89999999999995</v>
      </c>
      <c r="CX40" s="6">
        <f t="shared" si="25"/>
        <v>12.499999999999972</v>
      </c>
      <c r="CY40" s="162">
        <v>360</v>
      </c>
      <c r="CZ40" s="171">
        <f t="shared" si="26"/>
        <v>4499.99999999999</v>
      </c>
      <c r="DB40" s="2">
        <f t="shared" si="34"/>
        <v>12.499999999999972</v>
      </c>
      <c r="DC40" s="62"/>
      <c r="DD40" s="143">
        <f>1.5+0.7+1+0.8+1.5+1.5</f>
        <v>7</v>
      </c>
      <c r="DE40" s="149">
        <f t="shared" si="35"/>
        <v>5.4999999999999716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/>
      <c r="H42" s="143"/>
      <c r="I42" s="13">
        <f t="shared" si="0"/>
        <v>0</v>
      </c>
      <c r="J42" s="62"/>
      <c r="K42" s="143"/>
      <c r="L42" s="13">
        <f t="shared" si="1"/>
        <v>0</v>
      </c>
      <c r="M42" s="62">
        <f>-1+2</f>
        <v>1</v>
      </c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>
        <v>1</v>
      </c>
      <c r="AI42" s="143">
        <v>1</v>
      </c>
      <c r="AJ42" s="13">
        <f t="shared" si="30"/>
        <v>1</v>
      </c>
      <c r="AK42" s="62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>
        <f>-1+2</f>
        <v>1</v>
      </c>
      <c r="BD42" s="143">
        <v>1</v>
      </c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>
        <v>1</v>
      </c>
      <c r="BS42" s="143">
        <v>1</v>
      </c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>
        <v>1</v>
      </c>
      <c r="CL42" s="13">
        <f t="shared" si="32"/>
        <v>0</v>
      </c>
      <c r="CM42" s="62"/>
      <c r="CN42" s="143"/>
      <c r="CO42" s="13">
        <f t="shared" si="22"/>
        <v>0</v>
      </c>
      <c r="CP42" s="62"/>
      <c r="CQ42" s="143"/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>
        <v>1</v>
      </c>
      <c r="H43" s="143">
        <v>1</v>
      </c>
      <c r="I43" s="13">
        <f t="shared" si="0"/>
        <v>0</v>
      </c>
      <c r="J43" s="62"/>
      <c r="K43" s="143"/>
      <c r="L43" s="13">
        <f t="shared" si="1"/>
        <v>0</v>
      </c>
      <c r="M43" s="62"/>
      <c r="N43" s="143"/>
      <c r="O43" s="13">
        <f t="shared" si="2"/>
        <v>0</v>
      </c>
      <c r="P43" s="62">
        <v>1</v>
      </c>
      <c r="Q43" s="143">
        <v>1</v>
      </c>
      <c r="R43" s="30">
        <f t="shared" si="3"/>
        <v>0</v>
      </c>
      <c r="S43" s="62">
        <v>1</v>
      </c>
      <c r="T43" s="143">
        <v>0.5</v>
      </c>
      <c r="U43" s="13">
        <f t="shared" si="4"/>
        <v>0.5</v>
      </c>
      <c r="V43" s="62"/>
      <c r="W43" s="143"/>
      <c r="X43" s="13">
        <f t="shared" si="5"/>
        <v>0.5</v>
      </c>
      <c r="Y43" s="62"/>
      <c r="Z43" s="143">
        <v>0.5</v>
      </c>
      <c r="AA43" s="13">
        <f t="shared" si="27"/>
        <v>0</v>
      </c>
      <c r="AB43" s="62">
        <v>3</v>
      </c>
      <c r="AC43" s="143">
        <f>0.5+0.5+0.5+1+0.5</f>
        <v>3</v>
      </c>
      <c r="AD43" s="13">
        <f t="shared" si="28"/>
        <v>0</v>
      </c>
      <c r="AE43" s="62"/>
      <c r="AF43" s="143"/>
      <c r="AG43" s="13">
        <f t="shared" si="29"/>
        <v>0</v>
      </c>
      <c r="AH43" s="62"/>
      <c r="AI43" s="143"/>
      <c r="AJ43" s="13">
        <f t="shared" si="30"/>
        <v>0</v>
      </c>
      <c r="AK43" s="62">
        <v>1</v>
      </c>
      <c r="AL43" s="143">
        <v>1</v>
      </c>
      <c r="AM43" s="13">
        <f t="shared" si="6"/>
        <v>0</v>
      </c>
      <c r="AN43" s="62">
        <v>3</v>
      </c>
      <c r="AO43" s="143">
        <f>0.5+1.5+0.5</f>
        <v>2.5</v>
      </c>
      <c r="AP43" s="13">
        <f t="shared" si="7"/>
        <v>0.5</v>
      </c>
      <c r="AQ43" s="62"/>
      <c r="AR43" s="143"/>
      <c r="AS43" s="13">
        <f t="shared" si="8"/>
        <v>0.5</v>
      </c>
      <c r="AT43" s="62">
        <f>-1+3</f>
        <v>2</v>
      </c>
      <c r="AU43" s="143">
        <v>2</v>
      </c>
      <c r="AV43" s="13">
        <f t="shared" si="9"/>
        <v>0.5</v>
      </c>
      <c r="AW43" s="62"/>
      <c r="AX43" s="143">
        <v>0.5</v>
      </c>
      <c r="AY43" s="13">
        <f t="shared" si="10"/>
        <v>0</v>
      </c>
      <c r="AZ43" s="62"/>
      <c r="BA43" s="143"/>
      <c r="BB43" s="13">
        <f t="shared" si="11"/>
        <v>0</v>
      </c>
      <c r="BC43" s="62"/>
      <c r="BD43" s="143"/>
      <c r="BE43" s="13">
        <f t="shared" si="12"/>
        <v>0</v>
      </c>
      <c r="BF43" s="62"/>
      <c r="BG43" s="143"/>
      <c r="BH43" s="13">
        <f t="shared" si="13"/>
        <v>0</v>
      </c>
      <c r="BI43" s="62">
        <v>1</v>
      </c>
      <c r="BJ43" s="143">
        <v>0.5</v>
      </c>
      <c r="BK43" s="13">
        <f t="shared" si="14"/>
        <v>0.5</v>
      </c>
      <c r="BL43" s="62"/>
      <c r="BM43" s="143"/>
      <c r="BN43" s="13">
        <f t="shared" si="15"/>
        <v>0.5</v>
      </c>
      <c r="BO43" s="62"/>
      <c r="BP43" s="143">
        <f>0.5</f>
        <v>0.5</v>
      </c>
      <c r="BQ43" s="13">
        <f t="shared" si="16"/>
        <v>0</v>
      </c>
      <c r="BR43" s="62">
        <v>4</v>
      </c>
      <c r="BS43" s="143">
        <f>1+1+1+0.5</f>
        <v>3.5</v>
      </c>
      <c r="BT43" s="13">
        <f t="shared" si="17"/>
        <v>0.5</v>
      </c>
      <c r="BU43" s="62"/>
      <c r="BV43" s="143"/>
      <c r="BW43" s="13">
        <f t="shared" si="18"/>
        <v>0.5</v>
      </c>
      <c r="BX43" s="62"/>
      <c r="BY43" s="143"/>
      <c r="BZ43" s="13">
        <f t="shared" si="19"/>
        <v>0.5</v>
      </c>
      <c r="CA43" s="62"/>
      <c r="CB43" s="143"/>
      <c r="CC43" s="13">
        <f t="shared" si="20"/>
        <v>0.5</v>
      </c>
      <c r="CD43" s="62">
        <v>1</v>
      </c>
      <c r="CE43" s="143">
        <f>0.5+1</f>
        <v>1.5</v>
      </c>
      <c r="CF43" s="13">
        <f t="shared" si="21"/>
        <v>0</v>
      </c>
      <c r="CG43" s="62"/>
      <c r="CH43" s="143"/>
      <c r="CI43" s="13">
        <f t="shared" si="31"/>
        <v>0</v>
      </c>
      <c r="CJ43" s="62">
        <v>3</v>
      </c>
      <c r="CK43" s="143">
        <v>1.5</v>
      </c>
      <c r="CL43" s="13">
        <f t="shared" si="32"/>
        <v>1.5</v>
      </c>
      <c r="CM43" s="62"/>
      <c r="CN43" s="143"/>
      <c r="CO43" s="13">
        <f t="shared" si="22"/>
        <v>1.5</v>
      </c>
      <c r="CP43" s="62"/>
      <c r="CQ43" s="143"/>
      <c r="CR43" s="13">
        <f t="shared" si="33"/>
        <v>1.5</v>
      </c>
      <c r="CS43" s="62"/>
      <c r="CT43" s="143"/>
      <c r="CU43" s="14">
        <f t="shared" si="23"/>
        <v>1.5</v>
      </c>
      <c r="CV43" s="5">
        <f t="shared" si="36"/>
        <v>21</v>
      </c>
      <c r="CW43" s="4">
        <f t="shared" si="36"/>
        <v>19.5</v>
      </c>
      <c r="CX43" s="6">
        <f t="shared" si="25"/>
        <v>1.5</v>
      </c>
      <c r="CY43" s="162">
        <v>350</v>
      </c>
      <c r="CZ43" s="171">
        <f t="shared" si="26"/>
        <v>525</v>
      </c>
      <c r="DB43" s="2">
        <f t="shared" si="34"/>
        <v>1.5</v>
      </c>
      <c r="DC43" s="62"/>
      <c r="DD43" s="143">
        <f>1</f>
        <v>1</v>
      </c>
      <c r="DE43" s="149">
        <f t="shared" si="35"/>
        <v>0.5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2"/>
      <c r="N44" s="143"/>
      <c r="O44" s="13">
        <f t="shared" si="2"/>
        <v>0</v>
      </c>
      <c r="P44" s="62"/>
      <c r="Q44" s="143"/>
      <c r="R44" s="30">
        <f t="shared" si="3"/>
        <v>0</v>
      </c>
      <c r="S44" s="62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62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2"/>
      <c r="CT44" s="143"/>
      <c r="CU44" s="14">
        <f t="shared" si="23"/>
        <v>0</v>
      </c>
      <c r="CV44" s="5">
        <f t="shared" si="36"/>
        <v>0</v>
      </c>
      <c r="CW44" s="4">
        <f t="shared" si="36"/>
        <v>0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0</v>
      </c>
      <c r="G45" s="62">
        <v>5</v>
      </c>
      <c r="H45" s="143">
        <f>2+2</f>
        <v>4</v>
      </c>
      <c r="I45" s="13">
        <f t="shared" si="0"/>
        <v>1</v>
      </c>
      <c r="J45" s="62"/>
      <c r="K45" s="143"/>
      <c r="L45" s="13">
        <f t="shared" si="1"/>
        <v>1</v>
      </c>
      <c r="M45" s="62"/>
      <c r="N45" s="143"/>
      <c r="O45" s="13">
        <f t="shared" si="2"/>
        <v>1</v>
      </c>
      <c r="P45" s="62"/>
      <c r="Q45" s="143"/>
      <c r="R45" s="30">
        <f t="shared" si="3"/>
        <v>1</v>
      </c>
      <c r="S45" s="62"/>
      <c r="T45" s="143"/>
      <c r="U45" s="13">
        <f t="shared" si="4"/>
        <v>1</v>
      </c>
      <c r="V45" s="62"/>
      <c r="W45" s="143"/>
      <c r="X45" s="13">
        <f t="shared" si="5"/>
        <v>1</v>
      </c>
      <c r="Y45" s="62"/>
      <c r="Z45" s="143"/>
      <c r="AA45" s="13">
        <f t="shared" si="27"/>
        <v>1</v>
      </c>
      <c r="AB45" s="62"/>
      <c r="AC45" s="143"/>
      <c r="AD45" s="13">
        <f t="shared" si="28"/>
        <v>1</v>
      </c>
      <c r="AE45" s="62"/>
      <c r="AF45" s="143"/>
      <c r="AG45" s="13">
        <f t="shared" si="29"/>
        <v>1</v>
      </c>
      <c r="AH45" s="62"/>
      <c r="AI45" s="143"/>
      <c r="AJ45" s="13">
        <f t="shared" si="30"/>
        <v>1</v>
      </c>
      <c r="AK45" s="62">
        <v>3</v>
      </c>
      <c r="AL45" s="143">
        <f>2</f>
        <v>2</v>
      </c>
      <c r="AM45" s="13">
        <f t="shared" si="6"/>
        <v>2</v>
      </c>
      <c r="AN45" s="62"/>
      <c r="AO45" s="143"/>
      <c r="AP45" s="13">
        <f t="shared" si="7"/>
        <v>2</v>
      </c>
      <c r="AQ45" s="62"/>
      <c r="AR45" s="143"/>
      <c r="AS45" s="13">
        <f t="shared" si="8"/>
        <v>2</v>
      </c>
      <c r="AT45" s="62"/>
      <c r="AU45" s="143"/>
      <c r="AV45" s="13">
        <f t="shared" si="9"/>
        <v>2</v>
      </c>
      <c r="AW45" s="62"/>
      <c r="AX45" s="143">
        <f>2</f>
        <v>2</v>
      </c>
      <c r="AY45" s="13">
        <f t="shared" si="10"/>
        <v>0</v>
      </c>
      <c r="AZ45" s="62"/>
      <c r="BA45" s="143"/>
      <c r="BB45" s="13">
        <f t="shared" si="11"/>
        <v>0</v>
      </c>
      <c r="BC45" s="62"/>
      <c r="BD45" s="143"/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62"/>
      <c r="BY45" s="143"/>
      <c r="BZ45" s="13">
        <f t="shared" si="19"/>
        <v>0</v>
      </c>
      <c r="CA45" s="62">
        <v>2</v>
      </c>
      <c r="CB45" s="143">
        <v>2</v>
      </c>
      <c r="CC45" s="13">
        <f t="shared" si="20"/>
        <v>0</v>
      </c>
      <c r="CD45" s="62">
        <v>3</v>
      </c>
      <c r="CE45" s="143">
        <v>2</v>
      </c>
      <c r="CF45" s="13">
        <f t="shared" si="21"/>
        <v>1</v>
      </c>
      <c r="CG45" s="62"/>
      <c r="CH45" s="143"/>
      <c r="CI45" s="13">
        <f t="shared" si="31"/>
        <v>1</v>
      </c>
      <c r="CJ45" s="62"/>
      <c r="CK45" s="143"/>
      <c r="CL45" s="13">
        <f t="shared" si="32"/>
        <v>1</v>
      </c>
      <c r="CM45" s="62"/>
      <c r="CN45" s="143"/>
      <c r="CO45" s="13">
        <f t="shared" si="22"/>
        <v>1</v>
      </c>
      <c r="CP45" s="62"/>
      <c r="CQ45" s="143"/>
      <c r="CR45" s="13">
        <f t="shared" si="33"/>
        <v>1</v>
      </c>
      <c r="CS45" s="62"/>
      <c r="CT45" s="143"/>
      <c r="CU45" s="14">
        <f t="shared" si="23"/>
        <v>1</v>
      </c>
      <c r="CV45" s="5">
        <f t="shared" si="36"/>
        <v>13</v>
      </c>
      <c r="CW45" s="4">
        <f t="shared" si="36"/>
        <v>12</v>
      </c>
      <c r="CX45" s="6">
        <f t="shared" si="25"/>
        <v>1</v>
      </c>
      <c r="CY45" s="162">
        <v>220</v>
      </c>
      <c r="CZ45" s="171">
        <f t="shared" si="26"/>
        <v>220</v>
      </c>
      <c r="DB45" s="2">
        <f t="shared" si="34"/>
        <v>1</v>
      </c>
      <c r="DC45" s="62"/>
      <c r="DD45" s="143"/>
      <c r="DE45" s="149">
        <f t="shared" si="35"/>
        <v>1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176"/>
      <c r="N46" s="143"/>
      <c r="O46" s="13">
        <f t="shared" si="2"/>
        <v>0</v>
      </c>
      <c r="P46" s="176"/>
      <c r="Q46" s="143"/>
      <c r="R46" s="30">
        <f t="shared" si="3"/>
        <v>0</v>
      </c>
      <c r="S46" s="176">
        <v>3</v>
      </c>
      <c r="T46" s="143">
        <v>3</v>
      </c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/>
      <c r="AF46" s="143"/>
      <c r="AG46" s="13">
        <f t="shared" si="29"/>
        <v>0</v>
      </c>
      <c r="AH46" s="176"/>
      <c r="AI46" s="143"/>
      <c r="AJ46" s="13">
        <f t="shared" si="30"/>
        <v>0</v>
      </c>
      <c r="AK46" s="176">
        <v>2</v>
      </c>
      <c r="AL46" s="143"/>
      <c r="AM46" s="13">
        <f t="shared" si="6"/>
        <v>2</v>
      </c>
      <c r="AN46" s="176"/>
      <c r="AO46" s="143"/>
      <c r="AP46" s="13">
        <f t="shared" si="7"/>
        <v>2</v>
      </c>
      <c r="AQ46" s="176"/>
      <c r="AR46" s="143"/>
      <c r="AS46" s="13">
        <f t="shared" si="8"/>
        <v>2</v>
      </c>
      <c r="AT46" s="176"/>
      <c r="AU46" s="143"/>
      <c r="AV46" s="13">
        <f t="shared" si="9"/>
        <v>2</v>
      </c>
      <c r="AW46" s="176"/>
      <c r="AX46" s="143"/>
      <c r="AY46" s="13">
        <f t="shared" si="10"/>
        <v>2</v>
      </c>
      <c r="AZ46" s="176"/>
      <c r="BA46" s="143"/>
      <c r="BB46" s="13">
        <f t="shared" si="11"/>
        <v>2</v>
      </c>
      <c r="BC46" s="176"/>
      <c r="BD46" s="143"/>
      <c r="BE46" s="13">
        <f t="shared" si="12"/>
        <v>2</v>
      </c>
      <c r="BF46" s="176"/>
      <c r="BG46" s="143"/>
      <c r="BH46" s="13">
        <f t="shared" si="13"/>
        <v>2</v>
      </c>
      <c r="BI46" s="176"/>
      <c r="BJ46" s="143"/>
      <c r="BK46" s="13">
        <f t="shared" si="14"/>
        <v>2</v>
      </c>
      <c r="BL46" s="176"/>
      <c r="BM46" s="143"/>
      <c r="BN46" s="13">
        <f t="shared" si="15"/>
        <v>2</v>
      </c>
      <c r="BO46" s="176"/>
      <c r="BP46" s="143"/>
      <c r="BQ46" s="13">
        <f t="shared" si="16"/>
        <v>2</v>
      </c>
      <c r="BR46" s="176"/>
      <c r="BS46" s="143"/>
      <c r="BT46" s="13">
        <f t="shared" si="17"/>
        <v>2</v>
      </c>
      <c r="BU46" s="176"/>
      <c r="BV46" s="143"/>
      <c r="BW46" s="13">
        <f t="shared" si="18"/>
        <v>2</v>
      </c>
      <c r="BX46" s="176"/>
      <c r="BY46" s="143"/>
      <c r="BZ46" s="13">
        <f t="shared" si="19"/>
        <v>2</v>
      </c>
      <c r="CA46" s="176"/>
      <c r="CB46" s="195"/>
      <c r="CC46" s="13">
        <f t="shared" si="20"/>
        <v>2</v>
      </c>
      <c r="CD46" s="176"/>
      <c r="CE46" s="143"/>
      <c r="CF46" s="13">
        <f t="shared" si="21"/>
        <v>2</v>
      </c>
      <c r="CG46" s="176"/>
      <c r="CH46" s="143"/>
      <c r="CI46" s="13">
        <f t="shared" si="31"/>
        <v>2</v>
      </c>
      <c r="CJ46" s="176"/>
      <c r="CK46" s="143"/>
      <c r="CL46" s="13">
        <f t="shared" si="32"/>
        <v>2</v>
      </c>
      <c r="CM46" s="176"/>
      <c r="CN46" s="143"/>
      <c r="CO46" s="13">
        <f t="shared" si="22"/>
        <v>2</v>
      </c>
      <c r="CP46" s="176"/>
      <c r="CQ46" s="143"/>
      <c r="CR46" s="13">
        <f t="shared" si="33"/>
        <v>2</v>
      </c>
      <c r="CS46" s="176"/>
      <c r="CT46" s="143"/>
      <c r="CU46" s="14">
        <f t="shared" si="23"/>
        <v>2</v>
      </c>
      <c r="CV46" s="5">
        <f t="shared" si="36"/>
        <v>5</v>
      </c>
      <c r="CW46" s="4">
        <f t="shared" si="36"/>
        <v>3</v>
      </c>
      <c r="CX46" s="6">
        <f t="shared" si="25"/>
        <v>2</v>
      </c>
      <c r="CY46" s="162">
        <v>220</v>
      </c>
      <c r="CZ46" s="171">
        <f t="shared" si="26"/>
        <v>440</v>
      </c>
      <c r="DB46" s="2">
        <f t="shared" si="34"/>
        <v>2</v>
      </c>
      <c r="DC46" s="63"/>
      <c r="DD46" s="143"/>
      <c r="DE46" s="149">
        <f t="shared" si="35"/>
        <v>2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5</v>
      </c>
      <c r="Z47" s="143">
        <v>5</v>
      </c>
      <c r="AA47" s="13">
        <f t="shared" si="27"/>
        <v>0</v>
      </c>
      <c r="AB47" s="176">
        <v>4</v>
      </c>
      <c r="AC47" s="143">
        <f>4</f>
        <v>4</v>
      </c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/>
      <c r="BS47" s="143"/>
      <c r="BT47" s="13">
        <f t="shared" si="17"/>
        <v>0</v>
      </c>
      <c r="BU47" s="176"/>
      <c r="BV47" s="143"/>
      <c r="BW47" s="13">
        <f t="shared" si="18"/>
        <v>0</v>
      </c>
      <c r="BX47" s="176">
        <v>1</v>
      </c>
      <c r="BY47" s="143">
        <v>1</v>
      </c>
      <c r="BZ47" s="13">
        <f t="shared" si="19"/>
        <v>0</v>
      </c>
      <c r="CA47" s="176"/>
      <c r="CB47" s="195"/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10</v>
      </c>
      <c r="CW47" s="4">
        <f t="shared" si="36"/>
        <v>10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4.969999999999998</v>
      </c>
      <c r="G48" s="62">
        <v>4</v>
      </c>
      <c r="H48" s="143">
        <f>0.9+1+0.4+0.8+0.4</f>
        <v>3.4999999999999996</v>
      </c>
      <c r="I48" s="13">
        <f t="shared" si="0"/>
        <v>5.4699999999999989</v>
      </c>
      <c r="J48" s="62"/>
      <c r="K48" s="143"/>
      <c r="L48" s="13">
        <f t="shared" si="1"/>
        <v>5.4699999999999989</v>
      </c>
      <c r="M48" s="62"/>
      <c r="N48" s="143">
        <f>1.6+0.1+0.2</f>
        <v>1.9000000000000001</v>
      </c>
      <c r="O48" s="13">
        <f t="shared" si="2"/>
        <v>3.5699999999999985</v>
      </c>
      <c r="P48" s="62"/>
      <c r="Q48" s="143">
        <f>0.7+0.7</f>
        <v>1.4</v>
      </c>
      <c r="R48" s="30">
        <f t="shared" si="3"/>
        <v>2.1699999999999986</v>
      </c>
      <c r="S48" s="62"/>
      <c r="T48" s="143">
        <f>0.9</f>
        <v>0.9</v>
      </c>
      <c r="U48" s="13">
        <f t="shared" si="4"/>
        <v>1.2699999999999987</v>
      </c>
      <c r="V48" s="62"/>
      <c r="W48" s="143"/>
      <c r="X48" s="13">
        <f t="shared" si="5"/>
        <v>1.2699999999999987</v>
      </c>
      <c r="Y48" s="62">
        <v>4</v>
      </c>
      <c r="Z48" s="143"/>
      <c r="AA48" s="13">
        <f t="shared" si="27"/>
        <v>5.2699999999999987</v>
      </c>
      <c r="AB48" s="62"/>
      <c r="AC48" s="143">
        <f>0.8+1+0.4</f>
        <v>2.2000000000000002</v>
      </c>
      <c r="AD48" s="13">
        <f t="shared" si="28"/>
        <v>3.0699999999999985</v>
      </c>
      <c r="AE48" s="62"/>
      <c r="AF48" s="143"/>
      <c r="AG48" s="13">
        <f t="shared" si="29"/>
        <v>3.0699999999999985</v>
      </c>
      <c r="AH48" s="62">
        <v>4</v>
      </c>
      <c r="AI48" s="143">
        <f>0.8+0.2+0.2</f>
        <v>1.2</v>
      </c>
      <c r="AJ48" s="13">
        <f t="shared" si="30"/>
        <v>5.8699999999999983</v>
      </c>
      <c r="AK48" s="62"/>
      <c r="AL48" s="143">
        <f>0.5</f>
        <v>0.5</v>
      </c>
      <c r="AM48" s="13">
        <f t="shared" si="6"/>
        <v>5.3699999999999983</v>
      </c>
      <c r="AN48" s="62"/>
      <c r="AO48" s="143">
        <f>0.5+0.5</f>
        <v>1</v>
      </c>
      <c r="AP48" s="13">
        <f t="shared" si="7"/>
        <v>4.3699999999999983</v>
      </c>
      <c r="AQ48" s="62"/>
      <c r="AR48" s="143"/>
      <c r="AS48" s="13">
        <f t="shared" si="8"/>
        <v>4.3699999999999983</v>
      </c>
      <c r="AT48" s="62">
        <v>4</v>
      </c>
      <c r="AU48" s="143">
        <f>0.8+0.8+0.7+0.4</f>
        <v>2.6999999999999997</v>
      </c>
      <c r="AV48" s="13">
        <f t="shared" si="9"/>
        <v>5.6699999999999982</v>
      </c>
      <c r="AW48" s="62">
        <v>4</v>
      </c>
      <c r="AX48" s="143">
        <f>0.8+0.3+0.2+0.4+1+0.9</f>
        <v>3.6</v>
      </c>
      <c r="AY48" s="13">
        <f t="shared" si="10"/>
        <v>6.0699999999999985</v>
      </c>
      <c r="AZ48" s="62"/>
      <c r="BA48" s="143"/>
      <c r="BB48" s="13">
        <f t="shared" si="11"/>
        <v>6.0699999999999985</v>
      </c>
      <c r="BC48" s="62"/>
      <c r="BD48" s="143">
        <f>0.8</f>
        <v>0.8</v>
      </c>
      <c r="BE48" s="13">
        <f t="shared" si="12"/>
        <v>5.2699999999999987</v>
      </c>
      <c r="BF48" s="62"/>
      <c r="BG48" s="143">
        <f>0.7</f>
        <v>0.7</v>
      </c>
      <c r="BH48" s="13">
        <f t="shared" si="13"/>
        <v>4.5699999999999985</v>
      </c>
      <c r="BI48" s="62"/>
      <c r="BJ48" s="143">
        <f>0.8+0.2</f>
        <v>1</v>
      </c>
      <c r="BK48" s="13">
        <f t="shared" si="14"/>
        <v>3.5699999999999985</v>
      </c>
      <c r="BL48" s="62"/>
      <c r="BM48" s="143"/>
      <c r="BN48" s="13">
        <f t="shared" si="15"/>
        <v>3.5699999999999985</v>
      </c>
      <c r="BO48" s="62"/>
      <c r="BP48" s="143"/>
      <c r="BQ48" s="13">
        <f t="shared" si="16"/>
        <v>3.5699999999999985</v>
      </c>
      <c r="BR48" s="62">
        <v>4</v>
      </c>
      <c r="BS48" s="143">
        <f>0.3+0.5+0.8+0.3</f>
        <v>1.9000000000000001</v>
      </c>
      <c r="BT48" s="13">
        <f t="shared" si="17"/>
        <v>5.6699999999999982</v>
      </c>
      <c r="BU48" s="62"/>
      <c r="BV48" s="143"/>
      <c r="BW48" s="13">
        <f t="shared" si="18"/>
        <v>5.6699999999999982</v>
      </c>
      <c r="BX48" s="62"/>
      <c r="BY48" s="143">
        <f>0.8+0.2+0.4</f>
        <v>1.4</v>
      </c>
      <c r="BZ48" s="13">
        <f t="shared" si="19"/>
        <v>4.2699999999999978</v>
      </c>
      <c r="CA48" s="62"/>
      <c r="CB48" s="143">
        <f>0.5</f>
        <v>0.5</v>
      </c>
      <c r="CC48" s="13">
        <f t="shared" si="20"/>
        <v>3.7699999999999978</v>
      </c>
      <c r="CD48" s="62"/>
      <c r="CE48" s="143">
        <f>0.7+0.5+0.8+0.3+0.4</f>
        <v>2.6999999999999997</v>
      </c>
      <c r="CF48" s="13">
        <f t="shared" si="21"/>
        <v>1.0699999999999981</v>
      </c>
      <c r="CG48" s="62"/>
      <c r="CH48" s="143"/>
      <c r="CI48" s="13">
        <f t="shared" si="31"/>
        <v>1.0699999999999981</v>
      </c>
      <c r="CJ48" s="62">
        <v>4</v>
      </c>
      <c r="CK48" s="143">
        <f>0.4+0.5</f>
        <v>0.9</v>
      </c>
      <c r="CL48" s="13">
        <f t="shared" si="32"/>
        <v>4.1699999999999982</v>
      </c>
      <c r="CM48" s="62"/>
      <c r="CN48" s="143">
        <f>0.7</f>
        <v>0.7</v>
      </c>
      <c r="CO48" s="13">
        <f t="shared" si="22"/>
        <v>3.469999999999998</v>
      </c>
      <c r="CP48" s="61">
        <v>4</v>
      </c>
      <c r="CQ48" s="143"/>
      <c r="CR48" s="13">
        <f t="shared" si="33"/>
        <v>7.469999999999998</v>
      </c>
      <c r="CS48" s="61"/>
      <c r="CT48" s="143"/>
      <c r="CU48" s="14">
        <f t="shared" si="23"/>
        <v>7.469999999999998</v>
      </c>
      <c r="CV48" s="5">
        <f t="shared" si="36"/>
        <v>32</v>
      </c>
      <c r="CW48" s="4">
        <f t="shared" si="36"/>
        <v>29.499999999999993</v>
      </c>
      <c r="CX48" s="6">
        <f t="shared" si="25"/>
        <v>7.469999999999998</v>
      </c>
      <c r="CY48" s="191">
        <v>700</v>
      </c>
      <c r="CZ48" s="171">
        <f t="shared" si="26"/>
        <v>5228.9999999999982</v>
      </c>
      <c r="DB48" s="2">
        <f t="shared" si="34"/>
        <v>7.469999999999998</v>
      </c>
      <c r="DC48" s="61"/>
      <c r="DD48" s="143">
        <f>0.3+2.1</f>
        <v>2.4</v>
      </c>
      <c r="DE48" s="149">
        <f t="shared" si="35"/>
        <v>5.0699999999999985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9</v>
      </c>
      <c r="G49" s="62">
        <v>10</v>
      </c>
      <c r="H49" s="143">
        <v>3</v>
      </c>
      <c r="I49" s="13">
        <f t="shared" si="0"/>
        <v>16</v>
      </c>
      <c r="J49" s="62"/>
      <c r="K49" s="143"/>
      <c r="L49" s="13">
        <f t="shared" si="1"/>
        <v>16</v>
      </c>
      <c r="M49" s="62"/>
      <c r="N49" s="143">
        <v>4</v>
      </c>
      <c r="O49" s="13">
        <f t="shared" si="2"/>
        <v>12</v>
      </c>
      <c r="P49" s="62">
        <v>10</v>
      </c>
      <c r="Q49" s="143">
        <v>1</v>
      </c>
      <c r="R49" s="30">
        <f t="shared" si="3"/>
        <v>21</v>
      </c>
      <c r="S49" s="62"/>
      <c r="T49" s="143">
        <v>6</v>
      </c>
      <c r="U49" s="13">
        <f t="shared" si="4"/>
        <v>15</v>
      </c>
      <c r="V49" s="62"/>
      <c r="W49" s="143"/>
      <c r="X49" s="13">
        <f t="shared" si="5"/>
        <v>15</v>
      </c>
      <c r="Y49" s="62"/>
      <c r="Z49" s="143">
        <v>3</v>
      </c>
      <c r="AA49" s="13">
        <f t="shared" si="27"/>
        <v>12</v>
      </c>
      <c r="AB49" s="62"/>
      <c r="AC49" s="143">
        <v>3</v>
      </c>
      <c r="AD49" s="13">
        <f t="shared" si="28"/>
        <v>9</v>
      </c>
      <c r="AE49" s="62"/>
      <c r="AF49" s="143"/>
      <c r="AG49" s="13">
        <f t="shared" si="29"/>
        <v>9</v>
      </c>
      <c r="AH49" s="62">
        <v>10</v>
      </c>
      <c r="AI49" s="143"/>
      <c r="AJ49" s="13">
        <f t="shared" si="30"/>
        <v>19</v>
      </c>
      <c r="AK49" s="62"/>
      <c r="AL49" s="143">
        <v>4</v>
      </c>
      <c r="AM49" s="13">
        <f t="shared" si="6"/>
        <v>15</v>
      </c>
      <c r="AN49" s="62">
        <v>10</v>
      </c>
      <c r="AO49" s="143">
        <v>4</v>
      </c>
      <c r="AP49" s="13">
        <f t="shared" si="7"/>
        <v>21</v>
      </c>
      <c r="AQ49" s="62"/>
      <c r="AR49" s="143"/>
      <c r="AS49" s="13">
        <f t="shared" si="8"/>
        <v>21</v>
      </c>
      <c r="AT49" s="62"/>
      <c r="AU49" s="143">
        <v>4</v>
      </c>
      <c r="AV49" s="13">
        <f t="shared" si="9"/>
        <v>17</v>
      </c>
      <c r="AW49" s="62"/>
      <c r="AX49" s="143">
        <v>1</v>
      </c>
      <c r="AY49" s="13">
        <f t="shared" si="10"/>
        <v>16</v>
      </c>
      <c r="AZ49" s="62"/>
      <c r="BA49" s="143"/>
      <c r="BB49" s="13">
        <f t="shared" si="11"/>
        <v>16</v>
      </c>
      <c r="BC49" s="62"/>
      <c r="BD49" s="143">
        <v>6</v>
      </c>
      <c r="BE49" s="13">
        <f t="shared" si="12"/>
        <v>10</v>
      </c>
      <c r="BF49" s="62"/>
      <c r="BG49" s="143"/>
      <c r="BH49" s="13">
        <f t="shared" si="13"/>
        <v>10</v>
      </c>
      <c r="BI49" s="62">
        <v>10</v>
      </c>
      <c r="BJ49" s="143">
        <v>5</v>
      </c>
      <c r="BK49" s="13">
        <f t="shared" si="14"/>
        <v>15</v>
      </c>
      <c r="BL49" s="62"/>
      <c r="BM49" s="143"/>
      <c r="BN49" s="13">
        <f t="shared" si="15"/>
        <v>15</v>
      </c>
      <c r="BO49" s="62"/>
      <c r="BP49" s="143">
        <v>2</v>
      </c>
      <c r="BQ49" s="13">
        <f t="shared" si="16"/>
        <v>13</v>
      </c>
      <c r="BR49" s="62"/>
      <c r="BS49" s="143">
        <v>3</v>
      </c>
      <c r="BT49" s="13">
        <f t="shared" si="17"/>
        <v>10</v>
      </c>
      <c r="BU49" s="62"/>
      <c r="BV49" s="143"/>
      <c r="BW49" s="13">
        <f t="shared" si="18"/>
        <v>10</v>
      </c>
      <c r="BX49" s="62">
        <v>10</v>
      </c>
      <c r="BY49" s="143">
        <v>4</v>
      </c>
      <c r="BZ49" s="13">
        <f t="shared" si="19"/>
        <v>16</v>
      </c>
      <c r="CA49" s="62"/>
      <c r="CB49" s="143">
        <v>4</v>
      </c>
      <c r="CC49" s="13">
        <f t="shared" si="20"/>
        <v>12</v>
      </c>
      <c r="CD49" s="62">
        <v>10</v>
      </c>
      <c r="CE49" s="143">
        <v>6</v>
      </c>
      <c r="CF49" s="13">
        <f t="shared" si="21"/>
        <v>16</v>
      </c>
      <c r="CG49" s="62"/>
      <c r="CH49" s="143"/>
      <c r="CI49" s="13">
        <f t="shared" si="31"/>
        <v>16</v>
      </c>
      <c r="CJ49" s="62"/>
      <c r="CK49" s="143">
        <v>3</v>
      </c>
      <c r="CL49" s="13">
        <f t="shared" si="32"/>
        <v>13</v>
      </c>
      <c r="CM49" s="62"/>
      <c r="CN49" s="143">
        <v>6</v>
      </c>
      <c r="CO49" s="13">
        <f t="shared" si="22"/>
        <v>7</v>
      </c>
      <c r="CP49" s="61"/>
      <c r="CQ49" s="143"/>
      <c r="CR49" s="13">
        <f t="shared" si="33"/>
        <v>7</v>
      </c>
      <c r="CS49" s="61"/>
      <c r="CT49" s="143"/>
      <c r="CU49" s="14">
        <f t="shared" si="23"/>
        <v>7</v>
      </c>
      <c r="CV49" s="5">
        <f t="shared" si="36"/>
        <v>70</v>
      </c>
      <c r="CW49" s="4">
        <f t="shared" si="36"/>
        <v>72</v>
      </c>
      <c r="CX49" s="6">
        <f t="shared" si="25"/>
        <v>7</v>
      </c>
      <c r="CY49" s="162">
        <v>880</v>
      </c>
      <c r="CZ49" s="171">
        <f t="shared" si="26"/>
        <v>6160</v>
      </c>
      <c r="DB49" s="2">
        <f t="shared" si="34"/>
        <v>7</v>
      </c>
      <c r="DC49" s="61"/>
      <c r="DD49" s="143"/>
      <c r="DE49" s="149">
        <f t="shared" si="35"/>
        <v>7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6</v>
      </c>
      <c r="G50" s="62">
        <v>11</v>
      </c>
      <c r="H50" s="143">
        <f>5+1</f>
        <v>6</v>
      </c>
      <c r="I50" s="13">
        <f t="shared" si="0"/>
        <v>11</v>
      </c>
      <c r="J50" s="62"/>
      <c r="K50" s="143"/>
      <c r="L50" s="13">
        <f t="shared" si="1"/>
        <v>11</v>
      </c>
      <c r="M50" s="62"/>
      <c r="N50" s="143">
        <v>5</v>
      </c>
      <c r="O50" s="13">
        <f t="shared" si="2"/>
        <v>6</v>
      </c>
      <c r="P50" s="62">
        <v>6</v>
      </c>
      <c r="Q50" s="143"/>
      <c r="R50" s="30">
        <f t="shared" si="3"/>
        <v>12</v>
      </c>
      <c r="S50" s="62">
        <v>10</v>
      </c>
      <c r="T50" s="143">
        <v>12</v>
      </c>
      <c r="U50" s="13">
        <f t="shared" si="4"/>
        <v>10</v>
      </c>
      <c r="V50" s="62"/>
      <c r="W50" s="143"/>
      <c r="X50" s="13">
        <f t="shared" si="5"/>
        <v>10</v>
      </c>
      <c r="Y50" s="62">
        <v>7</v>
      </c>
      <c r="Z50" s="143">
        <v>7</v>
      </c>
      <c r="AA50" s="13">
        <f t="shared" si="27"/>
        <v>10</v>
      </c>
      <c r="AB50" s="62"/>
      <c r="AC50" s="143">
        <v>2</v>
      </c>
      <c r="AD50" s="13">
        <f t="shared" si="28"/>
        <v>8</v>
      </c>
      <c r="AE50" s="62"/>
      <c r="AF50" s="143"/>
      <c r="AG50" s="13">
        <f t="shared" si="29"/>
        <v>8</v>
      </c>
      <c r="AH50" s="62"/>
      <c r="AI50" s="143"/>
      <c r="AJ50" s="13">
        <f t="shared" si="30"/>
        <v>8</v>
      </c>
      <c r="AK50" s="62"/>
      <c r="AL50" s="143"/>
      <c r="AM50" s="13">
        <f t="shared" si="6"/>
        <v>8</v>
      </c>
      <c r="AN50" s="62"/>
      <c r="AO50" s="143"/>
      <c r="AP50" s="13">
        <f t="shared" si="7"/>
        <v>8</v>
      </c>
      <c r="AQ50" s="62"/>
      <c r="AR50" s="143"/>
      <c r="AS50" s="13">
        <f t="shared" si="8"/>
        <v>8</v>
      </c>
      <c r="AT50" s="62"/>
      <c r="AU50" s="143"/>
      <c r="AV50" s="13">
        <f t="shared" si="9"/>
        <v>8</v>
      </c>
      <c r="AW50" s="62"/>
      <c r="AX50" s="143"/>
      <c r="AY50" s="13">
        <f t="shared" si="10"/>
        <v>8</v>
      </c>
      <c r="AZ50" s="62"/>
      <c r="BA50" s="143"/>
      <c r="BB50" s="13">
        <f t="shared" si="11"/>
        <v>8</v>
      </c>
      <c r="BC50" s="62"/>
      <c r="BD50" s="143"/>
      <c r="BE50" s="13">
        <f t="shared" si="12"/>
        <v>8</v>
      </c>
      <c r="BF50" s="62"/>
      <c r="BG50" s="143"/>
      <c r="BH50" s="13">
        <f t="shared" si="13"/>
        <v>8</v>
      </c>
      <c r="BI50" s="62"/>
      <c r="BJ50" s="143"/>
      <c r="BK50" s="13">
        <f t="shared" si="14"/>
        <v>8</v>
      </c>
      <c r="BL50" s="62"/>
      <c r="BM50" s="143"/>
      <c r="BN50" s="13">
        <f t="shared" si="15"/>
        <v>8</v>
      </c>
      <c r="BO50" s="62"/>
      <c r="BP50" s="143"/>
      <c r="BQ50" s="13">
        <f t="shared" si="16"/>
        <v>8</v>
      </c>
      <c r="BR50" s="62"/>
      <c r="BS50" s="143"/>
      <c r="BT50" s="13">
        <f t="shared" si="17"/>
        <v>8</v>
      </c>
      <c r="BU50" s="62"/>
      <c r="BV50" s="143"/>
      <c r="BW50" s="13">
        <f t="shared" si="18"/>
        <v>8</v>
      </c>
      <c r="BX50" s="62"/>
      <c r="BY50" s="143"/>
      <c r="BZ50" s="13">
        <f t="shared" si="19"/>
        <v>8</v>
      </c>
      <c r="CA50" s="62"/>
      <c r="CB50" s="143"/>
      <c r="CC50" s="13">
        <f t="shared" si="20"/>
        <v>8</v>
      </c>
      <c r="CD50" s="62"/>
      <c r="CE50" s="143"/>
      <c r="CF50" s="13">
        <f t="shared" si="21"/>
        <v>8</v>
      </c>
      <c r="CG50" s="62"/>
      <c r="CH50" s="143"/>
      <c r="CI50" s="13">
        <f t="shared" si="31"/>
        <v>8</v>
      </c>
      <c r="CJ50" s="62"/>
      <c r="CK50" s="143"/>
      <c r="CL50" s="13">
        <f t="shared" si="32"/>
        <v>8</v>
      </c>
      <c r="CM50" s="62"/>
      <c r="CN50" s="143"/>
      <c r="CO50" s="13">
        <f t="shared" si="22"/>
        <v>8</v>
      </c>
      <c r="CP50" s="61"/>
      <c r="CQ50" s="143"/>
      <c r="CR50" s="13">
        <f t="shared" si="33"/>
        <v>8</v>
      </c>
      <c r="CS50" s="61"/>
      <c r="CT50" s="143"/>
      <c r="CU50" s="14">
        <f t="shared" si="23"/>
        <v>8</v>
      </c>
      <c r="CV50" s="5">
        <f t="shared" si="36"/>
        <v>34</v>
      </c>
      <c r="CW50" s="4">
        <f t="shared" si="36"/>
        <v>32</v>
      </c>
      <c r="CX50" s="6">
        <f t="shared" si="25"/>
        <v>8</v>
      </c>
      <c r="CY50" s="162">
        <v>85</v>
      </c>
      <c r="CZ50" s="171">
        <f t="shared" si="26"/>
        <v>680</v>
      </c>
      <c r="DB50" s="2">
        <f t="shared" si="34"/>
        <v>8</v>
      </c>
      <c r="DC50" s="61"/>
      <c r="DD50" s="143"/>
      <c r="DE50" s="149">
        <f t="shared" si="35"/>
        <v>8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1"/>
      <c r="CQ51" s="143"/>
      <c r="CR51" s="13">
        <f t="shared" si="33"/>
        <v>0</v>
      </c>
      <c r="CS51" s="61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1"/>
      <c r="CQ52" s="143"/>
      <c r="CR52" s="13">
        <f t="shared" si="33"/>
        <v>0</v>
      </c>
      <c r="CS52" s="61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10</v>
      </c>
      <c r="G53" s="62">
        <f>-7+22</f>
        <v>15</v>
      </c>
      <c r="H53" s="143">
        <v>10</v>
      </c>
      <c r="I53" s="13">
        <f t="shared" si="0"/>
        <v>15</v>
      </c>
      <c r="J53" s="62"/>
      <c r="K53" s="143"/>
      <c r="L53" s="13">
        <f t="shared" si="1"/>
        <v>15</v>
      </c>
      <c r="M53" s="62">
        <v>12</v>
      </c>
      <c r="N53" s="143">
        <v>7</v>
      </c>
      <c r="O53" s="13">
        <f t="shared" si="2"/>
        <v>20</v>
      </c>
      <c r="P53" s="62">
        <v>9</v>
      </c>
      <c r="Q53" s="143">
        <v>9</v>
      </c>
      <c r="R53" s="13">
        <f t="shared" si="3"/>
        <v>20</v>
      </c>
      <c r="S53" s="62">
        <v>15</v>
      </c>
      <c r="T53" s="143">
        <f>15</f>
        <v>15</v>
      </c>
      <c r="U53" s="13">
        <f t="shared" si="4"/>
        <v>20</v>
      </c>
      <c r="V53" s="62"/>
      <c r="W53" s="143"/>
      <c r="X53" s="13">
        <f t="shared" si="5"/>
        <v>20</v>
      </c>
      <c r="Y53" s="62">
        <v>11</v>
      </c>
      <c r="Z53" s="143">
        <v>11</v>
      </c>
      <c r="AA53" s="13">
        <f t="shared" si="27"/>
        <v>20</v>
      </c>
      <c r="AB53" s="62">
        <v>4</v>
      </c>
      <c r="AC53" s="143">
        <v>9</v>
      </c>
      <c r="AD53" s="13">
        <f t="shared" si="28"/>
        <v>15</v>
      </c>
      <c r="AE53" s="62"/>
      <c r="AF53" s="143"/>
      <c r="AG53" s="13">
        <f t="shared" si="29"/>
        <v>15</v>
      </c>
      <c r="AH53" s="62">
        <v>13</v>
      </c>
      <c r="AI53" s="143">
        <v>13</v>
      </c>
      <c r="AJ53" s="13">
        <f t="shared" si="30"/>
        <v>15</v>
      </c>
      <c r="AK53" s="62">
        <v>7</v>
      </c>
      <c r="AL53" s="143">
        <v>2</v>
      </c>
      <c r="AM53" s="13">
        <f t="shared" si="6"/>
        <v>20</v>
      </c>
      <c r="AN53" s="62">
        <v>12</v>
      </c>
      <c r="AO53" s="143">
        <v>12</v>
      </c>
      <c r="AP53" s="13">
        <f t="shared" si="7"/>
        <v>20</v>
      </c>
      <c r="AQ53" s="62"/>
      <c r="AR53" s="143"/>
      <c r="AS53" s="13">
        <f t="shared" si="8"/>
        <v>20</v>
      </c>
      <c r="AT53" s="62">
        <v>9</v>
      </c>
      <c r="AU53" s="143">
        <v>9</v>
      </c>
      <c r="AV53" s="13">
        <f t="shared" si="9"/>
        <v>20</v>
      </c>
      <c r="AW53" s="62">
        <v>5</v>
      </c>
      <c r="AX53" s="143">
        <f>10</f>
        <v>10</v>
      </c>
      <c r="AY53" s="13">
        <f t="shared" si="10"/>
        <v>15</v>
      </c>
      <c r="AZ53" s="62"/>
      <c r="BA53" s="143"/>
      <c r="BB53" s="13">
        <f t="shared" si="11"/>
        <v>15</v>
      </c>
      <c r="BC53" s="62">
        <v>13</v>
      </c>
      <c r="BD53" s="143">
        <v>13</v>
      </c>
      <c r="BE53" s="13">
        <f t="shared" si="12"/>
        <v>15</v>
      </c>
      <c r="BF53" s="62">
        <v>10</v>
      </c>
      <c r="BG53" s="143">
        <v>5</v>
      </c>
      <c r="BH53" s="13">
        <f t="shared" si="13"/>
        <v>20</v>
      </c>
      <c r="BI53" s="62">
        <v>19</v>
      </c>
      <c r="BJ53" s="143">
        <v>19</v>
      </c>
      <c r="BK53" s="13">
        <f t="shared" si="14"/>
        <v>20</v>
      </c>
      <c r="BL53" s="62"/>
      <c r="BM53" s="143"/>
      <c r="BN53" s="13">
        <f t="shared" si="15"/>
        <v>20</v>
      </c>
      <c r="BO53" s="62">
        <v>12</v>
      </c>
      <c r="BP53" s="143">
        <v>12</v>
      </c>
      <c r="BQ53" s="13">
        <f t="shared" si="16"/>
        <v>20</v>
      </c>
      <c r="BR53" s="62">
        <v>1</v>
      </c>
      <c r="BS53" s="143">
        <v>6</v>
      </c>
      <c r="BT53" s="13">
        <f t="shared" si="17"/>
        <v>15</v>
      </c>
      <c r="BU53" s="62"/>
      <c r="BV53" s="143"/>
      <c r="BW53" s="13">
        <f t="shared" si="18"/>
        <v>15</v>
      </c>
      <c r="BX53" s="62">
        <v>4</v>
      </c>
      <c r="BY53" s="143">
        <v>9</v>
      </c>
      <c r="BZ53" s="13">
        <f t="shared" si="19"/>
        <v>10</v>
      </c>
      <c r="CA53" s="62">
        <f>17</f>
        <v>17</v>
      </c>
      <c r="CB53" s="143">
        <v>8</v>
      </c>
      <c r="CC53" s="13">
        <f t="shared" si="20"/>
        <v>19</v>
      </c>
      <c r="CD53" s="62">
        <v>11</v>
      </c>
      <c r="CE53" s="143">
        <v>19</v>
      </c>
      <c r="CF53" s="13">
        <f t="shared" si="21"/>
        <v>11</v>
      </c>
      <c r="CG53" s="62"/>
      <c r="CH53" s="143"/>
      <c r="CI53" s="13">
        <f>CF53+CG53-CH53</f>
        <v>11</v>
      </c>
      <c r="CJ53" s="62">
        <v>15</v>
      </c>
      <c r="CK53" s="143">
        <v>11</v>
      </c>
      <c r="CL53" s="13">
        <f>CI53+CJ53-CK53</f>
        <v>15</v>
      </c>
      <c r="CM53" s="62"/>
      <c r="CN53" s="143">
        <v>15</v>
      </c>
      <c r="CO53" s="13">
        <f t="shared" si="22"/>
        <v>0</v>
      </c>
      <c r="CP53" s="61">
        <v>11</v>
      </c>
      <c r="CQ53" s="143"/>
      <c r="CR53" s="13">
        <f t="shared" si="33"/>
        <v>11</v>
      </c>
      <c r="CS53" s="61"/>
      <c r="CT53" s="143"/>
      <c r="CU53" s="14">
        <f t="shared" si="23"/>
        <v>11</v>
      </c>
      <c r="CV53" s="5">
        <f t="shared" si="36"/>
        <v>225</v>
      </c>
      <c r="CW53" s="4">
        <f t="shared" si="36"/>
        <v>224</v>
      </c>
      <c r="CX53" s="6">
        <f t="shared" si="25"/>
        <v>11</v>
      </c>
      <c r="CY53" s="191">
        <v>75</v>
      </c>
      <c r="CZ53" s="171">
        <f t="shared" si="26"/>
        <v>825</v>
      </c>
      <c r="DB53" s="2">
        <f t="shared" si="34"/>
        <v>11</v>
      </c>
      <c r="DC53" s="61"/>
      <c r="DD53" s="143"/>
      <c r="DE53" s="149">
        <f t="shared" si="35"/>
        <v>11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1"/>
      <c r="CQ54" s="143"/>
      <c r="CR54" s="13">
        <f t="shared" si="33"/>
        <v>0</v>
      </c>
      <c r="CS54" s="61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0</v>
      </c>
      <c r="G55" s="62">
        <v>10</v>
      </c>
      <c r="H55" s="143"/>
      <c r="I55" s="13">
        <f t="shared" si="0"/>
        <v>10</v>
      </c>
      <c r="J55" s="62"/>
      <c r="K55" s="143"/>
      <c r="L55" s="13">
        <f t="shared" si="1"/>
        <v>10</v>
      </c>
      <c r="M55" s="62"/>
      <c r="N55" s="143">
        <v>7</v>
      </c>
      <c r="O55" s="13">
        <f t="shared" si="2"/>
        <v>3</v>
      </c>
      <c r="P55" s="62">
        <v>10</v>
      </c>
      <c r="Q55" s="143"/>
      <c r="R55" s="13">
        <f t="shared" si="3"/>
        <v>13</v>
      </c>
      <c r="S55" s="62"/>
      <c r="T55" s="143"/>
      <c r="U55" s="13">
        <f t="shared" si="4"/>
        <v>13</v>
      </c>
      <c r="V55" s="62"/>
      <c r="W55" s="143"/>
      <c r="X55" s="13">
        <f t="shared" si="5"/>
        <v>13</v>
      </c>
      <c r="Y55" s="62"/>
      <c r="Z55" s="143"/>
      <c r="AA55" s="13">
        <f t="shared" si="27"/>
        <v>13</v>
      </c>
      <c r="AB55" s="62"/>
      <c r="AC55" s="143"/>
      <c r="AD55" s="13">
        <f t="shared" si="28"/>
        <v>13</v>
      </c>
      <c r="AE55" s="62"/>
      <c r="AF55" s="143"/>
      <c r="AG55" s="13">
        <f t="shared" si="29"/>
        <v>13</v>
      </c>
      <c r="AH55" s="62"/>
      <c r="AI55" s="143">
        <v>8</v>
      </c>
      <c r="AJ55" s="13">
        <f t="shared" si="30"/>
        <v>5</v>
      </c>
      <c r="AK55" s="62">
        <v>10</v>
      </c>
      <c r="AL55" s="143"/>
      <c r="AM55" s="13">
        <f t="shared" si="6"/>
        <v>15</v>
      </c>
      <c r="AN55" s="62"/>
      <c r="AO55" s="143"/>
      <c r="AP55" s="13">
        <f t="shared" si="7"/>
        <v>15</v>
      </c>
      <c r="AQ55" s="62"/>
      <c r="AR55" s="143"/>
      <c r="AS55" s="13">
        <f t="shared" si="8"/>
        <v>15</v>
      </c>
      <c r="AT55" s="62"/>
      <c r="AU55" s="143"/>
      <c r="AV55" s="13">
        <f t="shared" si="9"/>
        <v>15</v>
      </c>
      <c r="AW55" s="62"/>
      <c r="AX55" s="143"/>
      <c r="AY55" s="13">
        <f t="shared" si="10"/>
        <v>15</v>
      </c>
      <c r="AZ55" s="62"/>
      <c r="BA55" s="143"/>
      <c r="BB55" s="13">
        <f t="shared" si="11"/>
        <v>15</v>
      </c>
      <c r="BC55" s="62"/>
      <c r="BD55" s="143">
        <v>4</v>
      </c>
      <c r="BE55" s="13">
        <f t="shared" si="12"/>
        <v>11</v>
      </c>
      <c r="BF55" s="62"/>
      <c r="BG55" s="143"/>
      <c r="BH55" s="13">
        <f t="shared" si="13"/>
        <v>11</v>
      </c>
      <c r="BI55" s="62"/>
      <c r="BJ55" s="143"/>
      <c r="BK55" s="13">
        <f t="shared" si="14"/>
        <v>11</v>
      </c>
      <c r="BL55" s="62"/>
      <c r="BM55" s="143"/>
      <c r="BN55" s="13">
        <f t="shared" si="15"/>
        <v>11</v>
      </c>
      <c r="BO55" s="62"/>
      <c r="BP55" s="143"/>
      <c r="BQ55" s="13">
        <f t="shared" si="16"/>
        <v>11</v>
      </c>
      <c r="BR55" s="62"/>
      <c r="BS55" s="143">
        <v>6</v>
      </c>
      <c r="BT55" s="13">
        <f t="shared" si="17"/>
        <v>5</v>
      </c>
      <c r="BU55" s="62"/>
      <c r="BV55" s="143"/>
      <c r="BW55" s="13">
        <f t="shared" si="18"/>
        <v>5</v>
      </c>
      <c r="BX55" s="62"/>
      <c r="BY55" s="143"/>
      <c r="BZ55" s="13">
        <f t="shared" si="19"/>
        <v>5</v>
      </c>
      <c r="CA55" s="62"/>
      <c r="CB55" s="143"/>
      <c r="CC55" s="13">
        <f t="shared" si="20"/>
        <v>5</v>
      </c>
      <c r="CD55" s="62"/>
      <c r="CE55" s="143"/>
      <c r="CF55" s="13">
        <f t="shared" si="21"/>
        <v>5</v>
      </c>
      <c r="CG55" s="62"/>
      <c r="CH55" s="143"/>
      <c r="CI55" s="13">
        <f t="shared" si="31"/>
        <v>5</v>
      </c>
      <c r="CJ55" s="62"/>
      <c r="CK55" s="143">
        <v>5</v>
      </c>
      <c r="CL55" s="13">
        <f t="shared" si="32"/>
        <v>0</v>
      </c>
      <c r="CM55" s="62"/>
      <c r="CN55" s="143"/>
      <c r="CO55" s="13">
        <f t="shared" si="22"/>
        <v>0</v>
      </c>
      <c r="CP55" s="61"/>
      <c r="CQ55" s="143"/>
      <c r="CR55" s="13">
        <f t="shared" si="33"/>
        <v>0</v>
      </c>
      <c r="CS55" s="61"/>
      <c r="CT55" s="143"/>
      <c r="CU55" s="14">
        <f t="shared" si="23"/>
        <v>0</v>
      </c>
      <c r="CV55" s="5">
        <f t="shared" si="36"/>
        <v>30</v>
      </c>
      <c r="CW55" s="4">
        <f t="shared" si="36"/>
        <v>30</v>
      </c>
      <c r="CX55" s="6">
        <f t="shared" si="25"/>
        <v>0</v>
      </c>
      <c r="CY55" s="162">
        <v>125</v>
      </c>
      <c r="CZ55" s="171">
        <f t="shared" si="26"/>
        <v>0</v>
      </c>
      <c r="DB55" s="2">
        <f t="shared" si="34"/>
        <v>0</v>
      </c>
      <c r="DC55" s="61"/>
      <c r="DD55" s="143"/>
      <c r="DE55" s="149">
        <f t="shared" si="35"/>
        <v>0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1</v>
      </c>
      <c r="G56" s="62"/>
      <c r="H56" s="143">
        <v>1</v>
      </c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>
        <v>1</v>
      </c>
      <c r="Q56" s="143"/>
      <c r="R56" s="30">
        <f t="shared" si="3"/>
        <v>1</v>
      </c>
      <c r="S56" s="62"/>
      <c r="T56" s="143">
        <v>1</v>
      </c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>
        <v>2</v>
      </c>
      <c r="CB56" s="143"/>
      <c r="CC56" s="13">
        <f t="shared" si="20"/>
        <v>2</v>
      </c>
      <c r="CD56" s="62"/>
      <c r="CE56" s="143">
        <v>2</v>
      </c>
      <c r="CF56" s="13">
        <f t="shared" si="21"/>
        <v>0</v>
      </c>
      <c r="CG56" s="62"/>
      <c r="CH56" s="143"/>
      <c r="CI56" s="13">
        <f t="shared" si="31"/>
        <v>0</v>
      </c>
      <c r="CJ56" s="62">
        <v>1</v>
      </c>
      <c r="CK56" s="143"/>
      <c r="CL56" s="13">
        <f t="shared" si="32"/>
        <v>1</v>
      </c>
      <c r="CM56" s="62"/>
      <c r="CN56" s="143">
        <v>1</v>
      </c>
      <c r="CO56" s="13">
        <f t="shared" si="22"/>
        <v>0</v>
      </c>
      <c r="CP56" s="61"/>
      <c r="CQ56" s="143"/>
      <c r="CR56" s="13">
        <f t="shared" si="33"/>
        <v>0</v>
      </c>
      <c r="CS56" s="61"/>
      <c r="CT56" s="143"/>
      <c r="CU56" s="14">
        <f t="shared" si="23"/>
        <v>0</v>
      </c>
      <c r="CV56" s="5">
        <f t="shared" si="36"/>
        <v>4</v>
      </c>
      <c r="CW56" s="4">
        <f t="shared" si="36"/>
        <v>5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1"/>
      <c r="CQ57" s="143"/>
      <c r="CR57" s="13">
        <f t="shared" si="33"/>
        <v>0</v>
      </c>
      <c r="CS57" s="61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8.8999999999999897</v>
      </c>
      <c r="G58" s="62">
        <v>10</v>
      </c>
      <c r="H58" s="143">
        <f>1.7+3.3+1.6+1.4</f>
        <v>8</v>
      </c>
      <c r="I58" s="13">
        <f t="shared" si="0"/>
        <v>10.899999999999991</v>
      </c>
      <c r="J58" s="62"/>
      <c r="K58" s="143"/>
      <c r="L58" s="13">
        <f t="shared" si="1"/>
        <v>10.899999999999991</v>
      </c>
      <c r="M58" s="62"/>
      <c r="N58" s="143"/>
      <c r="O58" s="13">
        <f t="shared" si="2"/>
        <v>10.899999999999991</v>
      </c>
      <c r="P58" s="62"/>
      <c r="Q58" s="143">
        <f>2.5</f>
        <v>2.5</v>
      </c>
      <c r="R58" s="13">
        <f t="shared" si="3"/>
        <v>8.3999999999999915</v>
      </c>
      <c r="S58" s="62"/>
      <c r="T58" s="143">
        <f>1.1</f>
        <v>1.1000000000000001</v>
      </c>
      <c r="U58" s="13">
        <f t="shared" si="4"/>
        <v>7.2999999999999918</v>
      </c>
      <c r="V58" s="62"/>
      <c r="W58" s="143"/>
      <c r="X58" s="13">
        <f t="shared" si="5"/>
        <v>7.2999999999999918</v>
      </c>
      <c r="Y58" s="62">
        <v>10</v>
      </c>
      <c r="Z58" s="143">
        <f>4.6+4.4</f>
        <v>9</v>
      </c>
      <c r="AA58" s="13">
        <f t="shared" si="27"/>
        <v>8.2999999999999901</v>
      </c>
      <c r="AB58" s="62">
        <v>10</v>
      </c>
      <c r="AC58" s="143">
        <f>2+2+2.4+3.4</f>
        <v>9.8000000000000007</v>
      </c>
      <c r="AD58" s="13">
        <f t="shared" si="28"/>
        <v>8.4999999999999893</v>
      </c>
      <c r="AE58" s="62"/>
      <c r="AF58" s="143"/>
      <c r="AG58" s="13">
        <f t="shared" si="29"/>
        <v>8.4999999999999893</v>
      </c>
      <c r="AH58" s="62"/>
      <c r="AI58" s="143"/>
      <c r="AJ58" s="13">
        <f t="shared" si="30"/>
        <v>8.4999999999999893</v>
      </c>
      <c r="AK58" s="62"/>
      <c r="AL58" s="143">
        <f>1.7</f>
        <v>1.7</v>
      </c>
      <c r="AM58" s="13">
        <f t="shared" si="6"/>
        <v>6.7999999999999892</v>
      </c>
      <c r="AN58" s="62">
        <v>10</v>
      </c>
      <c r="AO58" s="143">
        <f>1.5+1.9+1.7</f>
        <v>5.0999999999999996</v>
      </c>
      <c r="AP58" s="13">
        <f t="shared" si="7"/>
        <v>11.69999999999999</v>
      </c>
      <c r="AQ58" s="62"/>
      <c r="AR58" s="143"/>
      <c r="AS58" s="13">
        <f t="shared" si="8"/>
        <v>11.69999999999999</v>
      </c>
      <c r="AT58" s="62"/>
      <c r="AU58" s="143">
        <f>1.2+2.4</f>
        <v>3.5999999999999996</v>
      </c>
      <c r="AV58" s="13">
        <f t="shared" si="9"/>
        <v>8.0999999999999908</v>
      </c>
      <c r="AW58" s="62">
        <v>10</v>
      </c>
      <c r="AX58" s="143">
        <f>1.4+3.6+1.1+1.2+2.8</f>
        <v>10.1</v>
      </c>
      <c r="AY58" s="13">
        <f t="shared" si="10"/>
        <v>7.9999999999999911</v>
      </c>
      <c r="AZ58" s="62"/>
      <c r="BA58" s="143"/>
      <c r="BB58" s="13">
        <f t="shared" si="11"/>
        <v>7.9999999999999911</v>
      </c>
      <c r="BC58" s="62"/>
      <c r="BD58" s="143"/>
      <c r="BE58" s="13">
        <f t="shared" si="12"/>
        <v>7.9999999999999911</v>
      </c>
      <c r="BF58" s="62"/>
      <c r="BG58" s="143"/>
      <c r="BH58" s="13">
        <f t="shared" si="13"/>
        <v>7.9999999999999911</v>
      </c>
      <c r="BI58" s="62"/>
      <c r="BJ58" s="143">
        <f>1.2+2.9</f>
        <v>4.0999999999999996</v>
      </c>
      <c r="BK58" s="13">
        <f t="shared" si="14"/>
        <v>3.8999999999999915</v>
      </c>
      <c r="BL58" s="62"/>
      <c r="BM58" s="143"/>
      <c r="BN58" s="13">
        <f t="shared" si="15"/>
        <v>3.8999999999999915</v>
      </c>
      <c r="BO58" s="62">
        <v>10</v>
      </c>
      <c r="BP58" s="143">
        <f>2.4+2.1</f>
        <v>4.5</v>
      </c>
      <c r="BQ58" s="13">
        <f t="shared" si="16"/>
        <v>9.3999999999999915</v>
      </c>
      <c r="BR58" s="62">
        <v>10</v>
      </c>
      <c r="BS58" s="143">
        <f>0.8+1+1.2+1.4+1.2+3.7</f>
        <v>9.3000000000000007</v>
      </c>
      <c r="BT58" s="13">
        <f t="shared" si="17"/>
        <v>10.099999999999991</v>
      </c>
      <c r="BU58" s="62"/>
      <c r="BV58" s="143"/>
      <c r="BW58" s="13">
        <f t="shared" si="18"/>
        <v>10.099999999999991</v>
      </c>
      <c r="BX58" s="62"/>
      <c r="BY58" s="143"/>
      <c r="BZ58" s="13">
        <f t="shared" si="19"/>
        <v>10.099999999999991</v>
      </c>
      <c r="CA58" s="62"/>
      <c r="CB58" s="143">
        <f>2.8</f>
        <v>2.8</v>
      </c>
      <c r="CC58" s="13">
        <f t="shared" si="20"/>
        <v>7.2999999999999909</v>
      </c>
      <c r="CD58" s="62"/>
      <c r="CE58" s="143">
        <f>1.5+1+2.3</f>
        <v>4.8</v>
      </c>
      <c r="CF58" s="13">
        <f t="shared" si="21"/>
        <v>2.4999999999999911</v>
      </c>
      <c r="CG58" s="62"/>
      <c r="CH58" s="143"/>
      <c r="CI58" s="13">
        <f t="shared" si="31"/>
        <v>2.4999999999999911</v>
      </c>
      <c r="CJ58" s="62">
        <v>10</v>
      </c>
      <c r="CK58" s="143">
        <f>0.8+1.8+0.6</f>
        <v>3.2</v>
      </c>
      <c r="CL58" s="13">
        <f t="shared" si="32"/>
        <v>9.2999999999999901</v>
      </c>
      <c r="CM58" s="62"/>
      <c r="CN58" s="143"/>
      <c r="CO58" s="13">
        <f t="shared" si="22"/>
        <v>9.2999999999999901</v>
      </c>
      <c r="CP58" s="61"/>
      <c r="CQ58" s="143"/>
      <c r="CR58" s="13">
        <f t="shared" si="33"/>
        <v>9.2999999999999901</v>
      </c>
      <c r="CS58" s="61"/>
      <c r="CT58" s="143"/>
      <c r="CU58" s="14">
        <f t="shared" si="23"/>
        <v>9.2999999999999901</v>
      </c>
      <c r="CV58" s="5">
        <f t="shared" si="36"/>
        <v>80</v>
      </c>
      <c r="CW58" s="4">
        <f t="shared" si="36"/>
        <v>79.600000000000009</v>
      </c>
      <c r="CX58" s="6">
        <f t="shared" si="25"/>
        <v>9.2999999999999901</v>
      </c>
      <c r="CY58" s="162">
        <v>400</v>
      </c>
      <c r="CZ58" s="171">
        <f t="shared" si="26"/>
        <v>3719.9999999999959</v>
      </c>
      <c r="DB58" s="2">
        <f t="shared" si="34"/>
        <v>9.2999999999999901</v>
      </c>
      <c r="DC58" s="61"/>
      <c r="DD58" s="143">
        <f>0.8+2.4+2+2.8+1.2</f>
        <v>9.1999999999999993</v>
      </c>
      <c r="DE58" s="149">
        <f t="shared" si="35"/>
        <v>9.9999999999990763E-2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60</v>
      </c>
      <c r="G59" s="62">
        <v>60</v>
      </c>
      <c r="H59" s="143">
        <f>3+17+47+2</f>
        <v>69</v>
      </c>
      <c r="I59" s="13">
        <f t="shared" si="0"/>
        <v>51</v>
      </c>
      <c r="J59" s="62"/>
      <c r="K59" s="143"/>
      <c r="L59" s="13">
        <f t="shared" si="1"/>
        <v>51</v>
      </c>
      <c r="M59" s="62">
        <v>40</v>
      </c>
      <c r="N59" s="143">
        <f>3+11+22</f>
        <v>36</v>
      </c>
      <c r="O59" s="13">
        <f t="shared" si="2"/>
        <v>55</v>
      </c>
      <c r="P59" s="62">
        <v>60</v>
      </c>
      <c r="Q59" s="143">
        <f>2+8+18</f>
        <v>28</v>
      </c>
      <c r="R59" s="30">
        <f t="shared" si="3"/>
        <v>87</v>
      </c>
      <c r="S59" s="62">
        <v>40</v>
      </c>
      <c r="T59" s="143">
        <f>6+13+46</f>
        <v>65</v>
      </c>
      <c r="U59" s="13">
        <f t="shared" si="4"/>
        <v>62</v>
      </c>
      <c r="V59" s="62"/>
      <c r="W59" s="143"/>
      <c r="X59" s="13">
        <f t="shared" si="5"/>
        <v>62</v>
      </c>
      <c r="Y59" s="62">
        <v>40</v>
      </c>
      <c r="Z59" s="143">
        <f>2+8+21</f>
        <v>31</v>
      </c>
      <c r="AA59" s="13">
        <f t="shared" si="27"/>
        <v>71</v>
      </c>
      <c r="AB59" s="62">
        <v>40</v>
      </c>
      <c r="AC59" s="143">
        <f>4+13+39</f>
        <v>56</v>
      </c>
      <c r="AD59" s="13">
        <f t="shared" si="28"/>
        <v>55</v>
      </c>
      <c r="AE59" s="62"/>
      <c r="AF59" s="143"/>
      <c r="AG59" s="13">
        <f t="shared" si="29"/>
        <v>55</v>
      </c>
      <c r="AH59" s="62">
        <f>40-1</f>
        <v>39</v>
      </c>
      <c r="AI59" s="143">
        <f>3+13+18</f>
        <v>34</v>
      </c>
      <c r="AJ59" s="13">
        <f t="shared" si="30"/>
        <v>60</v>
      </c>
      <c r="AK59" s="62">
        <v>60</v>
      </c>
      <c r="AL59" s="143">
        <f>4+4+23</f>
        <v>31</v>
      </c>
      <c r="AM59" s="13">
        <f t="shared" si="6"/>
        <v>89</v>
      </c>
      <c r="AN59" s="62">
        <v>60</v>
      </c>
      <c r="AO59" s="143">
        <f>5+16+40</f>
        <v>61</v>
      </c>
      <c r="AP59" s="13">
        <f t="shared" si="7"/>
        <v>88</v>
      </c>
      <c r="AQ59" s="62"/>
      <c r="AR59" s="143"/>
      <c r="AS59" s="13">
        <f t="shared" si="8"/>
        <v>88</v>
      </c>
      <c r="AT59" s="62">
        <v>40</v>
      </c>
      <c r="AU59" s="143">
        <f>2+4+20</f>
        <v>26</v>
      </c>
      <c r="AV59" s="13">
        <f t="shared" si="9"/>
        <v>102</v>
      </c>
      <c r="AW59" s="62">
        <v>20</v>
      </c>
      <c r="AX59" s="143">
        <v>58</v>
      </c>
      <c r="AY59" s="13">
        <f t="shared" si="10"/>
        <v>64</v>
      </c>
      <c r="AZ59" s="62"/>
      <c r="BA59" s="143"/>
      <c r="BB59" s="13">
        <f t="shared" si="11"/>
        <v>64</v>
      </c>
      <c r="BC59" s="62">
        <v>20</v>
      </c>
      <c r="BD59" s="143">
        <f>2+10+12+1</f>
        <v>25</v>
      </c>
      <c r="BE59" s="13">
        <f t="shared" si="12"/>
        <v>59</v>
      </c>
      <c r="BF59" s="62">
        <v>60</v>
      </c>
      <c r="BG59" s="143">
        <f>3+6+17</f>
        <v>26</v>
      </c>
      <c r="BH59" s="13">
        <f t="shared" si="13"/>
        <v>93</v>
      </c>
      <c r="BI59" s="62">
        <v>40</v>
      </c>
      <c r="BJ59" s="143">
        <f>8+13+52</f>
        <v>73</v>
      </c>
      <c r="BK59" s="13">
        <f t="shared" si="14"/>
        <v>60</v>
      </c>
      <c r="BL59" s="62"/>
      <c r="BM59" s="143"/>
      <c r="BN59" s="13">
        <f t="shared" si="15"/>
        <v>60</v>
      </c>
      <c r="BO59" s="62">
        <v>30</v>
      </c>
      <c r="BP59" s="143">
        <f>3+7+24</f>
        <v>34</v>
      </c>
      <c r="BQ59" s="13">
        <f t="shared" si="16"/>
        <v>56</v>
      </c>
      <c r="BR59" s="62">
        <v>20</v>
      </c>
      <c r="BS59" s="143">
        <f>4+16+34+1</f>
        <v>55</v>
      </c>
      <c r="BT59" s="13">
        <f t="shared" si="17"/>
        <v>21</v>
      </c>
      <c r="BU59" s="62"/>
      <c r="BV59" s="143"/>
      <c r="BW59" s="13">
        <f t="shared" si="18"/>
        <v>21</v>
      </c>
      <c r="BX59" s="62">
        <v>40</v>
      </c>
      <c r="BY59" s="143">
        <f>2+6+28</f>
        <v>36</v>
      </c>
      <c r="BZ59" s="13">
        <f t="shared" si="19"/>
        <v>25</v>
      </c>
      <c r="CA59" s="62">
        <v>60</v>
      </c>
      <c r="CB59" s="143">
        <f>1+10+20</f>
        <v>31</v>
      </c>
      <c r="CC59" s="13">
        <f t="shared" si="20"/>
        <v>54</v>
      </c>
      <c r="CD59" s="62">
        <v>40</v>
      </c>
      <c r="CE59" s="143">
        <f>5+17+44</f>
        <v>66</v>
      </c>
      <c r="CF59" s="13">
        <f t="shared" si="21"/>
        <v>28</v>
      </c>
      <c r="CG59" s="62"/>
      <c r="CH59" s="143"/>
      <c r="CI59" s="13">
        <f t="shared" si="31"/>
        <v>28</v>
      </c>
      <c r="CJ59" s="62">
        <v>30</v>
      </c>
      <c r="CK59" s="143">
        <f>3+7+29</f>
        <v>39</v>
      </c>
      <c r="CL59" s="13">
        <f t="shared" si="32"/>
        <v>19</v>
      </c>
      <c r="CM59" s="62">
        <v>40</v>
      </c>
      <c r="CN59" s="143">
        <f>6+12+23+12</f>
        <v>53</v>
      </c>
      <c r="CO59" s="13">
        <f t="shared" si="22"/>
        <v>6</v>
      </c>
      <c r="CP59" s="61">
        <v>10</v>
      </c>
      <c r="CQ59" s="143"/>
      <c r="CR59" s="13">
        <f t="shared" si="33"/>
        <v>16</v>
      </c>
      <c r="CS59" s="61"/>
      <c r="CT59" s="143"/>
      <c r="CU59" s="14">
        <f t="shared" si="23"/>
        <v>16</v>
      </c>
      <c r="CV59" s="5">
        <f t="shared" si="36"/>
        <v>889</v>
      </c>
      <c r="CW59" s="4">
        <f t="shared" si="36"/>
        <v>933</v>
      </c>
      <c r="CX59" s="6">
        <f t="shared" si="25"/>
        <v>16</v>
      </c>
      <c r="CY59" s="162">
        <v>214</v>
      </c>
      <c r="CZ59" s="171">
        <f t="shared" si="26"/>
        <v>3424</v>
      </c>
      <c r="DB59" s="2">
        <f t="shared" si="34"/>
        <v>16</v>
      </c>
      <c r="DC59" s="61"/>
      <c r="DD59" s="143"/>
      <c r="DE59" s="149">
        <f t="shared" si="35"/>
        <v>16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25</v>
      </c>
      <c r="G60" s="62">
        <f>-1+24</f>
        <v>23</v>
      </c>
      <c r="H60" s="143">
        <f>25+2+5+4+1</f>
        <v>37</v>
      </c>
      <c r="I60" s="13">
        <f t="shared" si="0"/>
        <v>11</v>
      </c>
      <c r="J60" s="62"/>
      <c r="K60" s="143"/>
      <c r="L60" s="13">
        <f t="shared" si="1"/>
        <v>11</v>
      </c>
      <c r="M60" s="62">
        <f>-3+24</f>
        <v>21</v>
      </c>
      <c r="N60" s="143">
        <f>20+1+1</f>
        <v>22</v>
      </c>
      <c r="O60" s="13">
        <f t="shared" si="2"/>
        <v>10</v>
      </c>
      <c r="P60" s="62">
        <f>-3-5-8+48</f>
        <v>32</v>
      </c>
      <c r="Q60" s="143">
        <f>10+7+5+3</f>
        <v>25</v>
      </c>
      <c r="R60" s="30">
        <f t="shared" si="3"/>
        <v>17</v>
      </c>
      <c r="S60" s="62">
        <f>-5+48</f>
        <v>43</v>
      </c>
      <c r="T60" s="143">
        <f>17+4+3+3+3+3</f>
        <v>33</v>
      </c>
      <c r="U60" s="13">
        <f t="shared" si="4"/>
        <v>27</v>
      </c>
      <c r="V60" s="62"/>
      <c r="W60" s="143"/>
      <c r="X60" s="13">
        <f t="shared" si="5"/>
        <v>27</v>
      </c>
      <c r="Y60" s="62">
        <v>24</v>
      </c>
      <c r="Z60" s="143">
        <f>18+3+4+3</f>
        <v>28</v>
      </c>
      <c r="AA60" s="13">
        <f t="shared" si="27"/>
        <v>23</v>
      </c>
      <c r="AB60" s="62">
        <v>24</v>
      </c>
      <c r="AC60" s="143">
        <f>16+6+3+5+5</f>
        <v>35</v>
      </c>
      <c r="AD60" s="13">
        <f t="shared" si="28"/>
        <v>12</v>
      </c>
      <c r="AE60" s="62"/>
      <c r="AF60" s="143"/>
      <c r="AG60" s="13">
        <f t="shared" si="29"/>
        <v>12</v>
      </c>
      <c r="AH60" s="62">
        <f>-8+48</f>
        <v>40</v>
      </c>
      <c r="AI60" s="143">
        <f>12+1+1+1+1</f>
        <v>16</v>
      </c>
      <c r="AJ60" s="13">
        <f t="shared" si="30"/>
        <v>36</v>
      </c>
      <c r="AK60" s="62">
        <v>24</v>
      </c>
      <c r="AL60" s="143">
        <f>16</f>
        <v>16</v>
      </c>
      <c r="AM60" s="13">
        <f t="shared" si="6"/>
        <v>44</v>
      </c>
      <c r="AN60" s="62">
        <v>24</v>
      </c>
      <c r="AO60" s="143">
        <f>26+4+6+3</f>
        <v>39</v>
      </c>
      <c r="AP60" s="13">
        <f t="shared" si="7"/>
        <v>29</v>
      </c>
      <c r="AQ60" s="62"/>
      <c r="AR60" s="143"/>
      <c r="AS60" s="13">
        <f t="shared" si="8"/>
        <v>29</v>
      </c>
      <c r="AT60" s="62">
        <v>24</v>
      </c>
      <c r="AU60" s="143">
        <f>14+6+4</f>
        <v>24</v>
      </c>
      <c r="AV60" s="13">
        <f t="shared" si="9"/>
        <v>29</v>
      </c>
      <c r="AW60" s="62">
        <v>24</v>
      </c>
      <c r="AX60" s="143">
        <f>22+8+1</f>
        <v>31</v>
      </c>
      <c r="AY60" s="13">
        <f t="shared" si="10"/>
        <v>22</v>
      </c>
      <c r="AZ60" s="62"/>
      <c r="BA60" s="143"/>
      <c r="BB60" s="13">
        <f t="shared" si="11"/>
        <v>22</v>
      </c>
      <c r="BC60" s="62">
        <v>24</v>
      </c>
      <c r="BD60" s="143">
        <f>18+6+1+3+1+1</f>
        <v>30</v>
      </c>
      <c r="BE60" s="13">
        <f t="shared" si="12"/>
        <v>16</v>
      </c>
      <c r="BF60" s="62">
        <v>24</v>
      </c>
      <c r="BG60" s="143">
        <f>2+7+2</f>
        <v>11</v>
      </c>
      <c r="BH60" s="13">
        <f t="shared" si="13"/>
        <v>29</v>
      </c>
      <c r="BI60" s="62">
        <v>24</v>
      </c>
      <c r="BJ60" s="143">
        <f>17+8+6+3</f>
        <v>34</v>
      </c>
      <c r="BK60" s="13">
        <f t="shared" si="14"/>
        <v>19</v>
      </c>
      <c r="BL60" s="62"/>
      <c r="BM60" s="143"/>
      <c r="BN60" s="13">
        <f t="shared" si="15"/>
        <v>19</v>
      </c>
      <c r="BO60" s="62">
        <v>24</v>
      </c>
      <c r="BP60" s="143">
        <v>19</v>
      </c>
      <c r="BQ60" s="13">
        <f t="shared" si="16"/>
        <v>24</v>
      </c>
      <c r="BR60" s="62">
        <v>24</v>
      </c>
      <c r="BS60" s="143">
        <f>18+4+6+5</f>
        <v>33</v>
      </c>
      <c r="BT60" s="13">
        <f t="shared" si="17"/>
        <v>15</v>
      </c>
      <c r="BU60" s="62"/>
      <c r="BV60" s="143"/>
      <c r="BW60" s="13">
        <f t="shared" si="18"/>
        <v>15</v>
      </c>
      <c r="BX60" s="64">
        <v>24</v>
      </c>
      <c r="BY60" s="143">
        <f>12+1+1+1+1</f>
        <v>16</v>
      </c>
      <c r="BZ60" s="13">
        <f t="shared" si="19"/>
        <v>23</v>
      </c>
      <c r="CA60" s="62">
        <v>24</v>
      </c>
      <c r="CB60" s="143">
        <f>6</f>
        <v>6</v>
      </c>
      <c r="CC60" s="13">
        <f t="shared" si="20"/>
        <v>41</v>
      </c>
      <c r="CD60" s="62">
        <f>1+24</f>
        <v>25</v>
      </c>
      <c r="CE60" s="143">
        <f>4+20+4+2</f>
        <v>30</v>
      </c>
      <c r="CF60" s="13">
        <f t="shared" si="21"/>
        <v>36</v>
      </c>
      <c r="CG60" s="62"/>
      <c r="CH60" s="143"/>
      <c r="CI60" s="13">
        <f t="shared" si="31"/>
        <v>36</v>
      </c>
      <c r="CJ60" s="62"/>
      <c r="CK60" s="143">
        <f>6+6+4+4</f>
        <v>20</v>
      </c>
      <c r="CL60" s="13">
        <f t="shared" si="32"/>
        <v>16</v>
      </c>
      <c r="CM60" s="62">
        <f>-6-8+24</f>
        <v>10</v>
      </c>
      <c r="CN60" s="143">
        <v>16</v>
      </c>
      <c r="CO60" s="13">
        <f t="shared" si="22"/>
        <v>10</v>
      </c>
      <c r="CP60" s="61"/>
      <c r="CQ60" s="143"/>
      <c r="CR60" s="13">
        <f t="shared" si="33"/>
        <v>10</v>
      </c>
      <c r="CS60" s="61"/>
      <c r="CT60" s="143"/>
      <c r="CU60" s="14">
        <f t="shared" si="23"/>
        <v>10</v>
      </c>
      <c r="CV60" s="5">
        <f t="shared" si="36"/>
        <v>506</v>
      </c>
      <c r="CW60" s="4">
        <f t="shared" si="36"/>
        <v>521</v>
      </c>
      <c r="CX60" s="6">
        <f t="shared" si="25"/>
        <v>10</v>
      </c>
      <c r="CY60" s="162">
        <v>28</v>
      </c>
      <c r="CZ60" s="171">
        <f t="shared" si="26"/>
        <v>280</v>
      </c>
      <c r="DB60" s="2">
        <f t="shared" si="34"/>
        <v>10</v>
      </c>
      <c r="DC60" s="61"/>
      <c r="DD60" s="143"/>
      <c r="DE60" s="149">
        <f t="shared" si="35"/>
        <v>10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1"/>
      <c r="CQ61" s="143"/>
      <c r="CR61" s="13">
        <f t="shared" si="33"/>
        <v>0</v>
      </c>
      <c r="CS61" s="61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1"/>
      <c r="CQ62" s="143"/>
      <c r="CR62" s="13">
        <f t="shared" si="33"/>
        <v>0</v>
      </c>
      <c r="CS62" s="61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279</v>
      </c>
      <c r="G63" s="62">
        <v>140</v>
      </c>
      <c r="H63" s="143">
        <f>20+6+170</f>
        <v>196</v>
      </c>
      <c r="I63" s="13">
        <f t="shared" si="0"/>
        <v>223</v>
      </c>
      <c r="J63" s="62"/>
      <c r="K63" s="143"/>
      <c r="L63" s="13">
        <f t="shared" si="1"/>
        <v>223</v>
      </c>
      <c r="M63" s="62">
        <v>280</v>
      </c>
      <c r="N63" s="143">
        <f>10+6+135</f>
        <v>151</v>
      </c>
      <c r="O63" s="13">
        <f t="shared" si="2"/>
        <v>352</v>
      </c>
      <c r="P63" s="62"/>
      <c r="Q63" s="143">
        <f>6+95</f>
        <v>101</v>
      </c>
      <c r="R63" s="30">
        <f t="shared" si="3"/>
        <v>251</v>
      </c>
      <c r="S63" s="62">
        <f>280</f>
        <v>280</v>
      </c>
      <c r="T63" s="143">
        <f>20+245</f>
        <v>265</v>
      </c>
      <c r="U63" s="13">
        <f t="shared" si="4"/>
        <v>266</v>
      </c>
      <c r="V63" s="62"/>
      <c r="W63" s="143"/>
      <c r="X63" s="13">
        <f t="shared" si="5"/>
        <v>266</v>
      </c>
      <c r="Y63" s="62">
        <v>280</v>
      </c>
      <c r="Z63" s="143">
        <v>185</v>
      </c>
      <c r="AA63" s="13">
        <f t="shared" si="27"/>
        <v>361</v>
      </c>
      <c r="AB63" s="62">
        <v>280</v>
      </c>
      <c r="AC63" s="143">
        <f>8+105</f>
        <v>113</v>
      </c>
      <c r="AD63" s="13">
        <f t="shared" si="28"/>
        <v>528</v>
      </c>
      <c r="AE63" s="62"/>
      <c r="AF63" s="143"/>
      <c r="AG63" s="13">
        <f t="shared" si="29"/>
        <v>528</v>
      </c>
      <c r="AH63" s="62"/>
      <c r="AI63" s="143">
        <f>10+3+130</f>
        <v>143</v>
      </c>
      <c r="AJ63" s="13">
        <f t="shared" si="30"/>
        <v>385</v>
      </c>
      <c r="AK63" s="62">
        <v>280</v>
      </c>
      <c r="AL63" s="143">
        <f>30+2+115</f>
        <v>147</v>
      </c>
      <c r="AM63" s="13">
        <f t="shared" si="6"/>
        <v>518</v>
      </c>
      <c r="AN63" s="62"/>
      <c r="AO63" s="143">
        <f>20+2+48</f>
        <v>70</v>
      </c>
      <c r="AP63" s="13">
        <f t="shared" si="7"/>
        <v>448</v>
      </c>
      <c r="AQ63" s="62"/>
      <c r="AR63" s="143"/>
      <c r="AS63" s="13">
        <f t="shared" si="8"/>
        <v>448</v>
      </c>
      <c r="AT63" s="62">
        <v>140</v>
      </c>
      <c r="AU63" s="143">
        <f>20+1+185</f>
        <v>206</v>
      </c>
      <c r="AV63" s="13">
        <f t="shared" si="9"/>
        <v>382</v>
      </c>
      <c r="AW63" s="62"/>
      <c r="AX63" s="143">
        <f>10+8+140</f>
        <v>158</v>
      </c>
      <c r="AY63" s="13">
        <f t="shared" si="10"/>
        <v>224</v>
      </c>
      <c r="AZ63" s="62"/>
      <c r="BA63" s="143"/>
      <c r="BB63" s="13">
        <f t="shared" si="11"/>
        <v>224</v>
      </c>
      <c r="BC63" s="62">
        <v>280</v>
      </c>
      <c r="BD63" s="143">
        <f>3+80</f>
        <v>83</v>
      </c>
      <c r="BE63" s="13">
        <f t="shared" si="12"/>
        <v>421</v>
      </c>
      <c r="BF63" s="62"/>
      <c r="BG63" s="143">
        <f>15+7+90</f>
        <v>112</v>
      </c>
      <c r="BH63" s="13">
        <f t="shared" si="13"/>
        <v>309</v>
      </c>
      <c r="BI63" s="62">
        <v>280</v>
      </c>
      <c r="BJ63" s="143">
        <f>20+3+165</f>
        <v>188</v>
      </c>
      <c r="BK63" s="13">
        <f t="shared" si="14"/>
        <v>401</v>
      </c>
      <c r="BL63" s="62"/>
      <c r="BM63" s="143"/>
      <c r="BN63" s="13">
        <f t="shared" si="15"/>
        <v>401</v>
      </c>
      <c r="BO63" s="62">
        <v>280</v>
      </c>
      <c r="BP63" s="143">
        <f>10+4+220</f>
        <v>234</v>
      </c>
      <c r="BQ63" s="13">
        <f t="shared" si="16"/>
        <v>447</v>
      </c>
      <c r="BR63" s="62"/>
      <c r="BS63" s="143">
        <f>40+5+140</f>
        <v>185</v>
      </c>
      <c r="BT63" s="13">
        <f t="shared" si="17"/>
        <v>262</v>
      </c>
      <c r="BU63" s="62"/>
      <c r="BV63" s="143"/>
      <c r="BW63" s="13">
        <f t="shared" si="18"/>
        <v>262</v>
      </c>
      <c r="BX63" s="62">
        <v>280</v>
      </c>
      <c r="BY63" s="143">
        <f>40+6+85</f>
        <v>131</v>
      </c>
      <c r="BZ63" s="13">
        <f t="shared" si="19"/>
        <v>411</v>
      </c>
      <c r="CA63" s="62"/>
      <c r="CB63" s="143">
        <f>20+6+160</f>
        <v>186</v>
      </c>
      <c r="CC63" s="13">
        <f t="shared" si="20"/>
        <v>225</v>
      </c>
      <c r="CD63" s="62">
        <v>280</v>
      </c>
      <c r="CE63" s="143">
        <f>10+7+200</f>
        <v>217</v>
      </c>
      <c r="CF63" s="13">
        <f t="shared" si="21"/>
        <v>288</v>
      </c>
      <c r="CG63" s="62"/>
      <c r="CH63" s="143"/>
      <c r="CI63" s="13">
        <f t="shared" si="31"/>
        <v>288</v>
      </c>
      <c r="CJ63" s="62">
        <v>140</v>
      </c>
      <c r="CK63" s="143">
        <f>11+160</f>
        <v>171</v>
      </c>
      <c r="CL63" s="13">
        <f t="shared" si="32"/>
        <v>257</v>
      </c>
      <c r="CM63" s="62"/>
      <c r="CN63" s="143">
        <f>30+3+100</f>
        <v>133</v>
      </c>
      <c r="CO63" s="13">
        <f t="shared" si="22"/>
        <v>124</v>
      </c>
      <c r="CP63" s="61">
        <v>140</v>
      </c>
      <c r="CQ63" s="143"/>
      <c r="CR63" s="13">
        <f t="shared" si="33"/>
        <v>264</v>
      </c>
      <c r="CS63" s="61"/>
      <c r="CT63" s="143"/>
      <c r="CU63" s="14">
        <f t="shared" si="23"/>
        <v>264</v>
      </c>
      <c r="CV63" s="5">
        <f t="shared" si="36"/>
        <v>3360</v>
      </c>
      <c r="CW63" s="4">
        <f t="shared" si="36"/>
        <v>3375</v>
      </c>
      <c r="CX63" s="6">
        <f t="shared" si="25"/>
        <v>264</v>
      </c>
      <c r="CY63" s="191">
        <v>57</v>
      </c>
      <c r="CZ63" s="171">
        <f t="shared" si="26"/>
        <v>15048</v>
      </c>
      <c r="DB63" s="2">
        <f t="shared" si="34"/>
        <v>264</v>
      </c>
      <c r="DC63" s="61"/>
      <c r="DD63" s="143"/>
      <c r="DE63" s="149">
        <f t="shared" si="35"/>
        <v>264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5.6999999999999984</v>
      </c>
      <c r="G64" s="62"/>
      <c r="H64" s="143"/>
      <c r="I64" s="13">
        <f t="shared" si="0"/>
        <v>5.6999999999999984</v>
      </c>
      <c r="J64" s="62"/>
      <c r="K64" s="143"/>
      <c r="L64" s="13">
        <f t="shared" si="1"/>
        <v>5.6999999999999984</v>
      </c>
      <c r="M64" s="62"/>
      <c r="N64" s="143"/>
      <c r="O64" s="13">
        <f t="shared" si="2"/>
        <v>5.6999999999999984</v>
      </c>
      <c r="P64" s="62"/>
      <c r="Q64" s="143"/>
      <c r="R64" s="30">
        <f t="shared" si="3"/>
        <v>5.6999999999999984</v>
      </c>
      <c r="S64" s="62"/>
      <c r="T64" s="143"/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2"/>
      <c r="AI64" s="143"/>
      <c r="AJ64" s="13">
        <f t="shared" si="30"/>
        <v>5.6999999999999984</v>
      </c>
      <c r="AK64" s="62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43"/>
      <c r="BB64" s="13">
        <f t="shared" si="11"/>
        <v>5.6999999999999984</v>
      </c>
      <c r="BC64" s="62"/>
      <c r="BD64" s="143"/>
      <c r="BE64" s="13">
        <f t="shared" si="12"/>
        <v>5.6999999999999984</v>
      </c>
      <c r="BF64" s="62"/>
      <c r="BG64" s="143"/>
      <c r="BH64" s="13">
        <f t="shared" si="13"/>
        <v>5.6999999999999984</v>
      </c>
      <c r="BI64" s="62"/>
      <c r="BJ64" s="143"/>
      <c r="BK64" s="13">
        <f t="shared" si="14"/>
        <v>5.6999999999999984</v>
      </c>
      <c r="BL64" s="62"/>
      <c r="BM64" s="143"/>
      <c r="BN64" s="13">
        <f t="shared" si="15"/>
        <v>5.6999999999999984</v>
      </c>
      <c r="BO64" s="62"/>
      <c r="BP64" s="143"/>
      <c r="BQ64" s="13">
        <f t="shared" si="16"/>
        <v>5.6999999999999984</v>
      </c>
      <c r="BR64" s="62"/>
      <c r="BS64" s="143"/>
      <c r="BT64" s="13">
        <f t="shared" si="17"/>
        <v>5.6999999999999984</v>
      </c>
      <c r="BU64" s="62"/>
      <c r="BV64" s="143"/>
      <c r="BW64" s="13">
        <f t="shared" si="18"/>
        <v>5.6999999999999984</v>
      </c>
      <c r="BX64" s="62"/>
      <c r="BY64" s="143"/>
      <c r="BZ64" s="13">
        <f t="shared" si="19"/>
        <v>5.6999999999999984</v>
      </c>
      <c r="CA64" s="62"/>
      <c r="CB64" s="143"/>
      <c r="CC64" s="13">
        <f t="shared" si="20"/>
        <v>5.6999999999999984</v>
      </c>
      <c r="CD64" s="62"/>
      <c r="CE64" s="143"/>
      <c r="CF64" s="13">
        <f t="shared" si="21"/>
        <v>5.6999999999999984</v>
      </c>
      <c r="CG64" s="62"/>
      <c r="CH64" s="143"/>
      <c r="CI64" s="13">
        <f t="shared" si="31"/>
        <v>5.6999999999999984</v>
      </c>
      <c r="CJ64" s="62"/>
      <c r="CK64" s="143"/>
      <c r="CL64" s="13">
        <f t="shared" si="32"/>
        <v>5.6999999999999984</v>
      </c>
      <c r="CM64" s="62"/>
      <c r="CN64" s="143"/>
      <c r="CO64" s="13">
        <f t="shared" si="22"/>
        <v>5.6999999999999984</v>
      </c>
      <c r="CP64" s="61"/>
      <c r="CQ64" s="143"/>
      <c r="CR64" s="13">
        <f t="shared" si="33"/>
        <v>5.6999999999999984</v>
      </c>
      <c r="CS64" s="61"/>
      <c r="CT64" s="143"/>
      <c r="CU64" s="14">
        <f t="shared" si="23"/>
        <v>5.6999999999999984</v>
      </c>
      <c r="CV64" s="5">
        <f t="shared" si="36"/>
        <v>0</v>
      </c>
      <c r="CW64" s="4">
        <f t="shared" si="36"/>
        <v>0</v>
      </c>
      <c r="CX64" s="6">
        <f t="shared" si="25"/>
        <v>5.6999999999999984</v>
      </c>
      <c r="CY64" s="162">
        <v>430</v>
      </c>
      <c r="CZ64" s="171">
        <f t="shared" si="26"/>
        <v>2450.9999999999991</v>
      </c>
      <c r="DB64" s="2">
        <f t="shared" si="34"/>
        <v>5.6999999999999984</v>
      </c>
      <c r="DC64" s="61"/>
      <c r="DD64" s="143"/>
      <c r="DE64" s="149">
        <f t="shared" si="35"/>
        <v>5.6999999999999984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1</v>
      </c>
      <c r="G65" s="62">
        <v>8</v>
      </c>
      <c r="H65" s="143">
        <f>3+2+3</f>
        <v>8</v>
      </c>
      <c r="I65" s="13">
        <f t="shared" si="0"/>
        <v>1</v>
      </c>
      <c r="J65" s="62"/>
      <c r="K65" s="143"/>
      <c r="L65" s="13">
        <f t="shared" si="1"/>
        <v>1</v>
      </c>
      <c r="M65" s="62">
        <v>5</v>
      </c>
      <c r="N65" s="143">
        <f>1+1+1</f>
        <v>3</v>
      </c>
      <c r="O65" s="13">
        <f t="shared" si="2"/>
        <v>3</v>
      </c>
      <c r="P65" s="62">
        <v>1</v>
      </c>
      <c r="Q65" s="143">
        <v>3</v>
      </c>
      <c r="R65" s="30">
        <f t="shared" si="3"/>
        <v>1</v>
      </c>
      <c r="S65" s="62">
        <v>1</v>
      </c>
      <c r="T65" s="143">
        <v>1</v>
      </c>
      <c r="U65" s="13">
        <f t="shared" si="4"/>
        <v>1</v>
      </c>
      <c r="V65" s="62"/>
      <c r="W65" s="143"/>
      <c r="X65" s="13">
        <f t="shared" si="5"/>
        <v>1</v>
      </c>
      <c r="Y65" s="62">
        <f>-1+8</f>
        <v>7</v>
      </c>
      <c r="Z65" s="143">
        <f>1+3+3</f>
        <v>7</v>
      </c>
      <c r="AA65" s="13">
        <f t="shared" si="27"/>
        <v>1</v>
      </c>
      <c r="AB65" s="62">
        <v>39</v>
      </c>
      <c r="AC65" s="143">
        <f>3+9+3+3+21</f>
        <v>39</v>
      </c>
      <c r="AD65" s="13">
        <f t="shared" si="28"/>
        <v>1</v>
      </c>
      <c r="AE65" s="62"/>
      <c r="AF65" s="143"/>
      <c r="AG65" s="13">
        <f t="shared" si="29"/>
        <v>1</v>
      </c>
      <c r="AH65" s="62">
        <v>2</v>
      </c>
      <c r="AI65" s="143">
        <f>1</f>
        <v>1</v>
      </c>
      <c r="AJ65" s="13">
        <f t="shared" si="30"/>
        <v>2</v>
      </c>
      <c r="AK65" s="62">
        <v>2</v>
      </c>
      <c r="AL65" s="143">
        <v>2</v>
      </c>
      <c r="AM65" s="13">
        <f t="shared" si="6"/>
        <v>2</v>
      </c>
      <c r="AN65" s="62">
        <v>5</v>
      </c>
      <c r="AO65" s="143">
        <f>2+1</f>
        <v>3</v>
      </c>
      <c r="AP65" s="13">
        <f t="shared" si="7"/>
        <v>4</v>
      </c>
      <c r="AQ65" s="62"/>
      <c r="AR65" s="143"/>
      <c r="AS65" s="13">
        <f t="shared" si="8"/>
        <v>4</v>
      </c>
      <c r="AT65" s="62">
        <v>15</v>
      </c>
      <c r="AU65" s="143">
        <f>5+7+3</f>
        <v>15</v>
      </c>
      <c r="AV65" s="13">
        <f t="shared" si="9"/>
        <v>4</v>
      </c>
      <c r="AW65" s="62">
        <v>16</v>
      </c>
      <c r="AX65" s="143">
        <f>3+3+2+3+3</f>
        <v>14</v>
      </c>
      <c r="AY65" s="13">
        <f t="shared" si="10"/>
        <v>6</v>
      </c>
      <c r="AZ65" s="62"/>
      <c r="BA65" s="143"/>
      <c r="BB65" s="13">
        <f t="shared" si="11"/>
        <v>6</v>
      </c>
      <c r="BC65" s="62"/>
      <c r="BD65" s="143">
        <v>5</v>
      </c>
      <c r="BE65" s="13">
        <f t="shared" si="12"/>
        <v>1</v>
      </c>
      <c r="BF65" s="62">
        <v>1</v>
      </c>
      <c r="BG65" s="143"/>
      <c r="BH65" s="13">
        <f t="shared" si="13"/>
        <v>2</v>
      </c>
      <c r="BI65" s="62">
        <f>-1+11</f>
        <v>10</v>
      </c>
      <c r="BJ65" s="143">
        <f>2+3+2+2</f>
        <v>9</v>
      </c>
      <c r="BK65" s="13">
        <f t="shared" si="14"/>
        <v>3</v>
      </c>
      <c r="BL65" s="62"/>
      <c r="BM65" s="143"/>
      <c r="BN65" s="13">
        <f t="shared" si="15"/>
        <v>3</v>
      </c>
      <c r="BO65" s="62">
        <v>5</v>
      </c>
      <c r="BP65" s="143">
        <f>3+1</f>
        <v>4</v>
      </c>
      <c r="BQ65" s="13">
        <f t="shared" si="16"/>
        <v>4</v>
      </c>
      <c r="BR65" s="62">
        <f>-1+27</f>
        <v>26</v>
      </c>
      <c r="BS65" s="143">
        <f>4+5+5+9+3+3</f>
        <v>29</v>
      </c>
      <c r="BT65" s="13">
        <f t="shared" si="17"/>
        <v>1</v>
      </c>
      <c r="BU65" s="62"/>
      <c r="BV65" s="143"/>
      <c r="BW65" s="13">
        <f t="shared" si="18"/>
        <v>1</v>
      </c>
      <c r="BX65" s="62">
        <f>-2+2</f>
        <v>0</v>
      </c>
      <c r="BY65" s="193">
        <f>1</f>
        <v>1</v>
      </c>
      <c r="BZ65" s="13">
        <f t="shared" si="19"/>
        <v>0</v>
      </c>
      <c r="CA65" s="62">
        <v>6</v>
      </c>
      <c r="CB65" s="143"/>
      <c r="CC65" s="13">
        <f t="shared" si="20"/>
        <v>6</v>
      </c>
      <c r="CD65" s="62">
        <v>9</v>
      </c>
      <c r="CE65" s="143">
        <f>6+7</f>
        <v>13</v>
      </c>
      <c r="CF65" s="13">
        <f t="shared" si="21"/>
        <v>2</v>
      </c>
      <c r="CG65" s="62"/>
      <c r="CH65" s="143"/>
      <c r="CI65" s="13">
        <f t="shared" si="31"/>
        <v>2</v>
      </c>
      <c r="CJ65" s="62">
        <v>7</v>
      </c>
      <c r="CK65" s="143">
        <f>2+3+2</f>
        <v>7</v>
      </c>
      <c r="CL65" s="13">
        <f t="shared" si="32"/>
        <v>2</v>
      </c>
      <c r="CM65" s="62"/>
      <c r="CN65" s="143"/>
      <c r="CO65" s="13">
        <f t="shared" si="22"/>
        <v>2</v>
      </c>
      <c r="CP65" s="61">
        <v>5</v>
      </c>
      <c r="CQ65" s="143"/>
      <c r="CR65" s="13">
        <f t="shared" si="33"/>
        <v>7</v>
      </c>
      <c r="CS65" s="61"/>
      <c r="CT65" s="143"/>
      <c r="CU65" s="14">
        <f t="shared" si="23"/>
        <v>7</v>
      </c>
      <c r="CV65" s="5">
        <f t="shared" si="36"/>
        <v>170</v>
      </c>
      <c r="CW65" s="4">
        <f t="shared" si="36"/>
        <v>164</v>
      </c>
      <c r="CX65" s="6">
        <f t="shared" si="25"/>
        <v>7</v>
      </c>
      <c r="CY65" s="162">
        <v>95</v>
      </c>
      <c r="CZ65" s="171">
        <f t="shared" si="26"/>
        <v>665</v>
      </c>
      <c r="DB65" s="2">
        <f t="shared" si="34"/>
        <v>7</v>
      </c>
      <c r="DC65" s="61"/>
      <c r="DD65" s="143">
        <f>2</f>
        <v>2</v>
      </c>
      <c r="DE65" s="149">
        <f t="shared" si="35"/>
        <v>5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 t="s">
        <v>286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>
        <f>39+7</f>
        <v>46</v>
      </c>
      <c r="N69" s="143">
        <v>2</v>
      </c>
      <c r="O69" s="13">
        <f>L69+M69-N69</f>
        <v>44</v>
      </c>
      <c r="P69" s="62"/>
      <c r="Q69" s="143"/>
      <c r="R69" s="30">
        <f>O69+P69-Q69</f>
        <v>44</v>
      </c>
      <c r="S69" s="62"/>
      <c r="T69" s="143"/>
      <c r="U69" s="13">
        <f>R69+S69-T69</f>
        <v>44</v>
      </c>
      <c r="V69" s="62"/>
      <c r="W69" s="143"/>
      <c r="X69" s="13">
        <f>U69+V69-W69</f>
        <v>44</v>
      </c>
      <c r="Y69" s="62"/>
      <c r="Z69" s="143"/>
      <c r="AA69" s="13">
        <f>X69+Y69-Z69</f>
        <v>44</v>
      </c>
      <c r="AB69" s="62"/>
      <c r="AC69" s="143">
        <v>8</v>
      </c>
      <c r="AD69" s="13">
        <f>AA69+AB69-AC69</f>
        <v>36</v>
      </c>
      <c r="AE69" s="62"/>
      <c r="AF69" s="143"/>
      <c r="AG69" s="13">
        <f>AD69+AE69-AF69</f>
        <v>36</v>
      </c>
      <c r="AH69" s="62"/>
      <c r="AI69" s="143"/>
      <c r="AJ69" s="13">
        <f>AG69+AH69-AI69</f>
        <v>36</v>
      </c>
      <c r="AK69" s="62"/>
      <c r="AL69" s="143"/>
      <c r="AM69" s="13">
        <f>AJ69+AK69-AL69</f>
        <v>36</v>
      </c>
      <c r="AN69" s="62"/>
      <c r="AO69" s="143">
        <f>8</f>
        <v>8</v>
      </c>
      <c r="AP69" s="13">
        <f>AM69+AN69-AO69</f>
        <v>28</v>
      </c>
      <c r="AQ69" s="62"/>
      <c r="AR69" s="143"/>
      <c r="AS69" s="13">
        <f>AP69+AQ69-AR69</f>
        <v>28</v>
      </c>
      <c r="AT69" s="62"/>
      <c r="AU69" s="143"/>
      <c r="AV69" s="13">
        <f>AS69+AT69-AU69</f>
        <v>28</v>
      </c>
      <c r="AW69" s="62"/>
      <c r="AX69" s="143"/>
      <c r="AY69" s="13">
        <f>AV69+AW69-AX69</f>
        <v>28</v>
      </c>
      <c r="AZ69" s="62"/>
      <c r="BA69" s="143"/>
      <c r="BB69" s="13">
        <f>AY69+AZ69-BA69</f>
        <v>28</v>
      </c>
      <c r="BC69" s="62"/>
      <c r="BD69" s="143"/>
      <c r="BE69" s="13">
        <f>BB69+BC69-BD69</f>
        <v>28</v>
      </c>
      <c r="BF69" s="62"/>
      <c r="BG69" s="143"/>
      <c r="BH69" s="13">
        <f>BE69+BF69-BG69</f>
        <v>28</v>
      </c>
      <c r="BI69" s="62"/>
      <c r="BJ69" s="143"/>
      <c r="BK69" s="13">
        <f>BH69+BI69-BJ69</f>
        <v>28</v>
      </c>
      <c r="BL69" s="62"/>
      <c r="BM69" s="143"/>
      <c r="BN69" s="13">
        <f>BK69+BL69-BM69</f>
        <v>28</v>
      </c>
      <c r="BO69" s="62"/>
      <c r="BP69" s="143"/>
      <c r="BQ69" s="13">
        <f>BN69+BO69-BP69</f>
        <v>28</v>
      </c>
      <c r="BR69" s="62"/>
      <c r="BS69" s="143"/>
      <c r="BT69" s="13">
        <f t="shared" ref="BT69:BT93" si="37">BQ69+BR69-BS69</f>
        <v>28</v>
      </c>
      <c r="BU69" s="62"/>
      <c r="BV69" s="143"/>
      <c r="BW69" s="13">
        <f>BT69+BU69-BV69</f>
        <v>28</v>
      </c>
      <c r="BX69" s="62"/>
      <c r="BY69" s="143"/>
      <c r="BZ69" s="13">
        <f t="shared" ref="BZ69:BZ85" si="38">BW69+BX69-BY69</f>
        <v>28</v>
      </c>
      <c r="CA69" s="62"/>
      <c r="CB69" s="143"/>
      <c r="CC69" s="13">
        <f t="shared" ref="CC69:CC85" si="39">BZ69+CA69-CB69</f>
        <v>28</v>
      </c>
      <c r="CD69" s="62"/>
      <c r="CE69" s="143"/>
      <c r="CF69" s="13">
        <f t="shared" ref="CF69:CF85" si="40">CC69+CD69-CE69</f>
        <v>28</v>
      </c>
      <c r="CG69" s="62"/>
      <c r="CH69" s="143"/>
      <c r="CI69" s="13">
        <f t="shared" si="31"/>
        <v>28</v>
      </c>
      <c r="CJ69" s="62"/>
      <c r="CK69" s="143"/>
      <c r="CL69" s="13">
        <f t="shared" si="32"/>
        <v>28</v>
      </c>
      <c r="CM69" s="62"/>
      <c r="CN69" s="143"/>
      <c r="CO69" s="13">
        <f t="shared" ref="CO69:CO85" si="41">CL69+CM69-CN69</f>
        <v>28</v>
      </c>
      <c r="CP69" s="62"/>
      <c r="CQ69" s="143"/>
      <c r="CR69" s="13">
        <f t="shared" si="33"/>
        <v>28</v>
      </c>
      <c r="CS69" s="62"/>
      <c r="CT69" s="143"/>
      <c r="CU69" s="14">
        <f t="shared" ref="CU69:CU93" si="42">CR69+CS69-CT69</f>
        <v>28</v>
      </c>
      <c r="CV69" s="5">
        <f t="shared" ref="CV69:CW93" si="43">G69+J69+M69+P69+S69+V69+Y69+AB69+AE69+AH69+AK69+AN69+AQ69+AT69+AW69+AZ69+BC69+BF69+BI69+BL69+BO69+BR69+BU69+BX69+CA69+CD69+CG69+CJ69+CM69+CP69+CS69</f>
        <v>46</v>
      </c>
      <c r="CW69" s="4">
        <f t="shared" si="43"/>
        <v>18</v>
      </c>
      <c r="CX69" s="6">
        <f t="shared" ref="CX69:CX77" si="44">CU69</f>
        <v>28</v>
      </c>
      <c r="CY69" s="191">
        <v>0</v>
      </c>
      <c r="CZ69" s="171">
        <f t="shared" ref="CZ69:CZ93" si="45">CX69*CY69</f>
        <v>0</v>
      </c>
      <c r="DB69" s="2">
        <f t="shared" si="34"/>
        <v>28</v>
      </c>
      <c r="DC69" s="62"/>
      <c r="DD69" s="143">
        <f>8</f>
        <v>8</v>
      </c>
      <c r="DE69" s="149">
        <f t="shared" si="35"/>
        <v>20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32</v>
      </c>
      <c r="G70" s="62"/>
      <c r="H70" s="143"/>
      <c r="I70" s="13">
        <f>F70+G70-H70</f>
        <v>32</v>
      </c>
      <c r="J70" s="62"/>
      <c r="K70" s="143"/>
      <c r="L70" s="13">
        <f>I70+J70-K70</f>
        <v>32</v>
      </c>
      <c r="M70" s="62"/>
      <c r="N70" s="143"/>
      <c r="O70" s="13">
        <f>L70+M70-N70</f>
        <v>32</v>
      </c>
      <c r="P70" s="62"/>
      <c r="Q70" s="143"/>
      <c r="R70" s="30">
        <f>O70+P70-Q70</f>
        <v>32</v>
      </c>
      <c r="S70" s="62"/>
      <c r="T70" s="143"/>
      <c r="U70" s="13">
        <f>R70+S70-T70</f>
        <v>32</v>
      </c>
      <c r="V70" s="62"/>
      <c r="W70" s="143"/>
      <c r="X70" s="13">
        <f>U70+V70-W70</f>
        <v>32</v>
      </c>
      <c r="Y70" s="62"/>
      <c r="Z70" s="143"/>
      <c r="AA70" s="13">
        <f>X70+Y70-Z70</f>
        <v>32</v>
      </c>
      <c r="AB70" s="62"/>
      <c r="AC70" s="143"/>
      <c r="AD70" s="13">
        <f>AA70+AB70-AC70</f>
        <v>32</v>
      </c>
      <c r="AE70" s="62"/>
      <c r="AF70" s="143"/>
      <c r="AG70" s="13">
        <f>AD70+AE70-AF70</f>
        <v>32</v>
      </c>
      <c r="AH70" s="62"/>
      <c r="AI70" s="143"/>
      <c r="AJ70" s="13">
        <f>AG70+AH70-AI70</f>
        <v>32</v>
      </c>
      <c r="AK70" s="62"/>
      <c r="AL70" s="143"/>
      <c r="AM70" s="13">
        <f>AJ70+AK70-AL70</f>
        <v>32</v>
      </c>
      <c r="AN70" s="62"/>
      <c r="AO70" s="143"/>
      <c r="AP70" s="13">
        <f>AM70+AN70-AO70</f>
        <v>32</v>
      </c>
      <c r="AQ70" s="62"/>
      <c r="AR70" s="143"/>
      <c r="AS70" s="13">
        <f>AP70+AQ70-AR70</f>
        <v>32</v>
      </c>
      <c r="AT70" s="62"/>
      <c r="AU70" s="143"/>
      <c r="AV70" s="13">
        <f>AS70+AT70-AU70</f>
        <v>32</v>
      </c>
      <c r="AW70" s="62"/>
      <c r="AX70" s="143"/>
      <c r="AY70" s="13">
        <f>AV70+AW70-AX70</f>
        <v>32</v>
      </c>
      <c r="AZ70" s="62"/>
      <c r="BA70" s="143"/>
      <c r="BB70" s="13">
        <f>AY70+AZ70-BA70</f>
        <v>32</v>
      </c>
      <c r="BC70" s="62"/>
      <c r="BD70" s="143"/>
      <c r="BE70" s="13">
        <f>BB70+BC70-BD70</f>
        <v>32</v>
      </c>
      <c r="BF70" s="62"/>
      <c r="BG70" s="143"/>
      <c r="BH70" s="13">
        <f>BE70+BF70-BG70</f>
        <v>32</v>
      </c>
      <c r="BI70" s="62"/>
      <c r="BJ70" s="143"/>
      <c r="BK70" s="13">
        <f>BH70+BI70-BJ70</f>
        <v>32</v>
      </c>
      <c r="BL70" s="62"/>
      <c r="BM70" s="143"/>
      <c r="BN70" s="13">
        <f>BK70+BL70-BM70</f>
        <v>32</v>
      </c>
      <c r="BO70" s="62"/>
      <c r="BP70" s="143"/>
      <c r="BQ70" s="13">
        <f>BN70+BO70-BP70</f>
        <v>32</v>
      </c>
      <c r="BR70" s="62"/>
      <c r="BS70" s="143"/>
      <c r="BT70" s="13">
        <f t="shared" si="37"/>
        <v>32</v>
      </c>
      <c r="BU70" s="62"/>
      <c r="BV70" s="143"/>
      <c r="BW70" s="13">
        <f>BT70+BU70-BV70</f>
        <v>32</v>
      </c>
      <c r="BX70" s="62"/>
      <c r="BY70" s="143"/>
      <c r="BZ70" s="13">
        <f t="shared" si="38"/>
        <v>32</v>
      </c>
      <c r="CA70" s="62"/>
      <c r="CB70" s="143"/>
      <c r="CC70" s="13">
        <f t="shared" si="39"/>
        <v>32</v>
      </c>
      <c r="CD70" s="62"/>
      <c r="CE70" s="143"/>
      <c r="CF70" s="13">
        <f t="shared" si="40"/>
        <v>32</v>
      </c>
      <c r="CG70" s="62"/>
      <c r="CH70" s="143"/>
      <c r="CI70" s="13">
        <f t="shared" ref="CI70:CI85" si="46">CF70+CG70-CH70</f>
        <v>32</v>
      </c>
      <c r="CJ70" s="62"/>
      <c r="CK70" s="143"/>
      <c r="CL70" s="13">
        <f t="shared" ref="CL70:CL85" si="47">CI70+CJ70-CK70</f>
        <v>32</v>
      </c>
      <c r="CM70" s="62"/>
      <c r="CN70" s="143"/>
      <c r="CO70" s="13">
        <f t="shared" si="41"/>
        <v>32</v>
      </c>
      <c r="CP70" s="62"/>
      <c r="CQ70" s="143"/>
      <c r="CR70" s="13">
        <f t="shared" ref="CR70:CR85" si="48">CO70+CP70-CQ70</f>
        <v>32</v>
      </c>
      <c r="CS70" s="62"/>
      <c r="CT70" s="143"/>
      <c r="CU70" s="14">
        <f t="shared" si="42"/>
        <v>32</v>
      </c>
      <c r="CV70" s="5">
        <f t="shared" si="43"/>
        <v>0</v>
      </c>
      <c r="CW70" s="4">
        <f t="shared" si="43"/>
        <v>0</v>
      </c>
      <c r="CX70" s="6">
        <f t="shared" si="44"/>
        <v>32</v>
      </c>
      <c r="CY70" s="162">
        <v>152</v>
      </c>
      <c r="CZ70" s="171">
        <f t="shared" si="45"/>
        <v>4864</v>
      </c>
      <c r="DB70" s="2">
        <f t="shared" ref="DB70:DB93" si="49">CU70</f>
        <v>32</v>
      </c>
      <c r="DC70" s="62"/>
      <c r="DD70" s="143"/>
      <c r="DE70" s="149">
        <f t="shared" si="35"/>
        <v>32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26</v>
      </c>
      <c r="G71" s="62"/>
      <c r="H71" s="143"/>
      <c r="I71" s="13">
        <f>F71+G71-H71</f>
        <v>26</v>
      </c>
      <c r="J71" s="62"/>
      <c r="K71" s="143"/>
      <c r="L71" s="13">
        <f>I71+J71-K71</f>
        <v>26</v>
      </c>
      <c r="M71" s="62"/>
      <c r="N71" s="143"/>
      <c r="O71" s="13">
        <f>L71+M71-N71</f>
        <v>26</v>
      </c>
      <c r="P71" s="62"/>
      <c r="Q71" s="143"/>
      <c r="R71" s="13">
        <f>O71+P71-Q71</f>
        <v>26</v>
      </c>
      <c r="S71" s="62"/>
      <c r="T71" s="143"/>
      <c r="U71" s="13">
        <f>R71+S71-T71</f>
        <v>26</v>
      </c>
      <c r="V71" s="62"/>
      <c r="W71" s="143"/>
      <c r="X71" s="13">
        <f>U71+V71-W71</f>
        <v>26</v>
      </c>
      <c r="Y71" s="62"/>
      <c r="Z71" s="143"/>
      <c r="AA71" s="13">
        <f>X71+Y71-Z71</f>
        <v>26</v>
      </c>
      <c r="AB71" s="62"/>
      <c r="AC71" s="143">
        <f>4+5</f>
        <v>9</v>
      </c>
      <c r="AD71" s="13">
        <f>AA71+AB71-AC71</f>
        <v>17</v>
      </c>
      <c r="AE71" s="62"/>
      <c r="AF71" s="143"/>
      <c r="AG71" s="13">
        <f>AD71+AE71-AF71</f>
        <v>17</v>
      </c>
      <c r="AH71" s="62"/>
      <c r="AI71" s="143">
        <f>2</f>
        <v>2</v>
      </c>
      <c r="AJ71" s="13">
        <f>AG71+AH71-AI71</f>
        <v>15</v>
      </c>
      <c r="AK71" s="62"/>
      <c r="AL71" s="143"/>
      <c r="AM71" s="13">
        <f>AJ71+AK71-AL71</f>
        <v>15</v>
      </c>
      <c r="AN71" s="62"/>
      <c r="AO71" s="143">
        <v>15</v>
      </c>
      <c r="AP71" s="13">
        <f>AM71+AN71-AO71</f>
        <v>0</v>
      </c>
      <c r="AQ71" s="62"/>
      <c r="AR71" s="143"/>
      <c r="AS71" s="13">
        <f>AP71+AQ71-AR71</f>
        <v>0</v>
      </c>
      <c r="AT71" s="62">
        <f>-6+32</f>
        <v>26</v>
      </c>
      <c r="AU71" s="143">
        <f>2+4</f>
        <v>6</v>
      </c>
      <c r="AV71" s="13">
        <f>AS71+AT71-AU71</f>
        <v>20</v>
      </c>
      <c r="AW71" s="62"/>
      <c r="AX71" s="143"/>
      <c r="AY71" s="13">
        <f>AV71+AW71-AX71</f>
        <v>20</v>
      </c>
      <c r="AZ71" s="62"/>
      <c r="BA71" s="143"/>
      <c r="BB71" s="13">
        <f>AY71+AZ71-BA71</f>
        <v>20</v>
      </c>
      <c r="BC71" s="62"/>
      <c r="BD71" s="143">
        <f>3</f>
        <v>3</v>
      </c>
      <c r="BE71" s="13">
        <f>BB71+BC71-BD71</f>
        <v>17</v>
      </c>
      <c r="BF71" s="62"/>
      <c r="BG71" s="143"/>
      <c r="BH71" s="13">
        <f>BE71+BF71-BG71</f>
        <v>17</v>
      </c>
      <c r="BI71" s="62"/>
      <c r="BJ71" s="143"/>
      <c r="BK71" s="13">
        <f>BH71+BI71-BJ71</f>
        <v>17</v>
      </c>
      <c r="BL71" s="62"/>
      <c r="BM71" s="143"/>
      <c r="BN71" s="13">
        <f>BK71+BL71-BM71</f>
        <v>17</v>
      </c>
      <c r="BO71" s="62"/>
      <c r="BP71" s="143">
        <v>7</v>
      </c>
      <c r="BQ71" s="13">
        <f>BN71+BO71-BP71</f>
        <v>10</v>
      </c>
      <c r="BR71" s="62">
        <v>32</v>
      </c>
      <c r="BS71" s="143">
        <f>2+5+8</f>
        <v>15</v>
      </c>
      <c r="BT71" s="13">
        <f t="shared" si="37"/>
        <v>27</v>
      </c>
      <c r="BU71" s="62"/>
      <c r="BV71" s="143"/>
      <c r="BW71" s="13">
        <f>BT71+BU71-BV71</f>
        <v>27</v>
      </c>
      <c r="BX71" s="62"/>
      <c r="BY71" s="143"/>
      <c r="BZ71" s="13">
        <f t="shared" si="38"/>
        <v>27</v>
      </c>
      <c r="CA71" s="62"/>
      <c r="CB71" s="143"/>
      <c r="CC71" s="13">
        <f t="shared" si="39"/>
        <v>27</v>
      </c>
      <c r="CD71" s="62"/>
      <c r="CE71" s="143">
        <v>12</v>
      </c>
      <c r="CF71" s="13">
        <f t="shared" si="40"/>
        <v>15</v>
      </c>
      <c r="CG71" s="62"/>
      <c r="CH71" s="143"/>
      <c r="CI71" s="13">
        <f t="shared" si="46"/>
        <v>15</v>
      </c>
      <c r="CJ71" s="62">
        <v>32</v>
      </c>
      <c r="CK71" s="143">
        <f>4</f>
        <v>4</v>
      </c>
      <c r="CL71" s="13">
        <f t="shared" si="47"/>
        <v>43</v>
      </c>
      <c r="CM71" s="62"/>
      <c r="CN71" s="143"/>
      <c r="CO71" s="13">
        <f t="shared" si="41"/>
        <v>43</v>
      </c>
      <c r="CP71" s="62"/>
      <c r="CQ71" s="143"/>
      <c r="CR71" s="13">
        <f t="shared" si="48"/>
        <v>43</v>
      </c>
      <c r="CS71" s="62"/>
      <c r="CT71" s="143"/>
      <c r="CU71" s="14">
        <f t="shared" si="42"/>
        <v>43</v>
      </c>
      <c r="CV71" s="5">
        <f t="shared" si="43"/>
        <v>90</v>
      </c>
      <c r="CW71" s="4">
        <f t="shared" si="43"/>
        <v>73</v>
      </c>
      <c r="CX71" s="6">
        <f t="shared" si="44"/>
        <v>43</v>
      </c>
      <c r="CY71" s="162">
        <v>203</v>
      </c>
      <c r="CZ71" s="171">
        <f t="shared" si="45"/>
        <v>8729</v>
      </c>
      <c r="DB71" s="2">
        <f t="shared" si="49"/>
        <v>43</v>
      </c>
      <c r="DC71" s="62"/>
      <c r="DD71" s="143">
        <f>10+6</f>
        <v>16</v>
      </c>
      <c r="DE71" s="149">
        <f t="shared" ref="DE71:DE93" si="50">DC71+DB71-DD71</f>
        <v>27</v>
      </c>
    </row>
    <row r="72" spans="1:109" ht="15.75" customHeight="1">
      <c r="A72" s="33"/>
      <c r="B72" s="157" t="s">
        <v>208</v>
      </c>
      <c r="C72" s="158" t="s">
        <v>21</v>
      </c>
      <c r="D72" s="159"/>
      <c r="E72" s="159"/>
      <c r="F72" s="14">
        <v>0</v>
      </c>
      <c r="G72" s="62"/>
      <c r="H72" s="143"/>
      <c r="I72" s="13">
        <f>F72+G72-H72</f>
        <v>0</v>
      </c>
      <c r="J72" s="62"/>
      <c r="K72" s="143"/>
      <c r="L72" s="13">
        <f>I72+J72-K72</f>
        <v>0</v>
      </c>
      <c r="M72" s="62"/>
      <c r="N72" s="143"/>
      <c r="O72" s="13">
        <f>L72+M72-N72</f>
        <v>0</v>
      </c>
      <c r="P72" s="62"/>
      <c r="Q72" s="143"/>
      <c r="R72" s="30">
        <f>O72+P72-Q72</f>
        <v>0</v>
      </c>
      <c r="S72" s="62"/>
      <c r="T72" s="143"/>
      <c r="U72" s="13">
        <f>R72+S72-T72</f>
        <v>0</v>
      </c>
      <c r="V72" s="62"/>
      <c r="W72" s="143"/>
      <c r="X72" s="13">
        <f>U72+V72-W72</f>
        <v>0</v>
      </c>
      <c r="Y72" s="62"/>
      <c r="Z72" s="143"/>
      <c r="AA72" s="13">
        <f>X72+Y72-Z72</f>
        <v>0</v>
      </c>
      <c r="AB72" s="62"/>
      <c r="AC72" s="143"/>
      <c r="AD72" s="13">
        <f>AA72+AB72-AC72</f>
        <v>0</v>
      </c>
      <c r="AE72" s="62"/>
      <c r="AF72" s="143"/>
      <c r="AG72" s="13">
        <f>AD72+AE72-AF72</f>
        <v>0</v>
      </c>
      <c r="AH72" s="62"/>
      <c r="AI72" s="143"/>
      <c r="AJ72" s="13">
        <f>AG72+AH72-AI72</f>
        <v>0</v>
      </c>
      <c r="AK72" s="62"/>
      <c r="AL72" s="143"/>
      <c r="AM72" s="13">
        <f>AJ72+AK72-AL72</f>
        <v>0</v>
      </c>
      <c r="AN72" s="62"/>
      <c r="AO72" s="143"/>
      <c r="AP72" s="13">
        <f>AM72+AN72-AO72</f>
        <v>0</v>
      </c>
      <c r="AQ72" s="62"/>
      <c r="AR72" s="143"/>
      <c r="AS72" s="13">
        <f>AP72+AQ72-AR72</f>
        <v>0</v>
      </c>
      <c r="AT72" s="62"/>
      <c r="AU72" s="143"/>
      <c r="AV72" s="13">
        <f>AS72+AT72-AU72</f>
        <v>0</v>
      </c>
      <c r="AW72" s="62"/>
      <c r="AX72" s="143"/>
      <c r="AY72" s="13">
        <f>AV72+AW72-AX72</f>
        <v>0</v>
      </c>
      <c r="AZ72" s="62"/>
      <c r="BA72" s="143"/>
      <c r="BB72" s="13">
        <f>AY72+AZ72-BA72</f>
        <v>0</v>
      </c>
      <c r="BC72" s="62"/>
      <c r="BD72" s="143"/>
      <c r="BE72" s="13">
        <f>BB72+BC72-BD72</f>
        <v>0</v>
      </c>
      <c r="BF72" s="62"/>
      <c r="BG72" s="143"/>
      <c r="BH72" s="13">
        <f>BE72+BF72-BG72</f>
        <v>0</v>
      </c>
      <c r="BI72" s="62"/>
      <c r="BJ72" s="143"/>
      <c r="BK72" s="13">
        <f>BH72+BI72-BJ72</f>
        <v>0</v>
      </c>
      <c r="BL72" s="62"/>
      <c r="BM72" s="143"/>
      <c r="BN72" s="13">
        <f>BK72+BL72-BM72</f>
        <v>0</v>
      </c>
      <c r="BO72" s="62"/>
      <c r="BP72" s="143"/>
      <c r="BQ72" s="13">
        <f>BN72+BO72-BP72</f>
        <v>0</v>
      </c>
      <c r="BR72" s="62"/>
      <c r="BS72" s="143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2</v>
      </c>
      <c r="G73" s="62"/>
      <c r="H73" s="143"/>
      <c r="I73" s="13">
        <f t="shared" ref="I73:I76" si="51">F73+G73-H73</f>
        <v>2</v>
      </c>
      <c r="J73" s="62"/>
      <c r="K73" s="143"/>
      <c r="L73" s="13">
        <f t="shared" ref="L73:L77" si="52">I73+J73-K73</f>
        <v>2</v>
      </c>
      <c r="M73" s="62"/>
      <c r="N73" s="143"/>
      <c r="O73" s="13">
        <f t="shared" ref="O73:O77" si="53">L73+M73-N73</f>
        <v>2</v>
      </c>
      <c r="P73" s="62"/>
      <c r="Q73" s="143"/>
      <c r="R73" s="30">
        <f t="shared" ref="R73:R77" si="54">O73+P73-Q73</f>
        <v>2</v>
      </c>
      <c r="S73" s="62"/>
      <c r="T73" s="143"/>
      <c r="U73" s="13">
        <f t="shared" ref="U73:U76" si="55">R73+S73-T73</f>
        <v>2</v>
      </c>
      <c r="V73" s="62"/>
      <c r="W73" s="143"/>
      <c r="X73" s="13">
        <f t="shared" ref="X73:X77" si="56">U73+V73-W73</f>
        <v>2</v>
      </c>
      <c r="Y73" s="62"/>
      <c r="Z73" s="143"/>
      <c r="AA73" s="13">
        <f t="shared" ref="AA73:AA93" si="57">X73+Y73-Z73</f>
        <v>2</v>
      </c>
      <c r="AB73" s="62"/>
      <c r="AC73" s="143"/>
      <c r="AD73" s="13">
        <f t="shared" ref="AD73:AD77" si="58">AA73+AB73-AC73</f>
        <v>2</v>
      </c>
      <c r="AE73" s="62"/>
      <c r="AF73" s="143"/>
      <c r="AG73" s="13">
        <f t="shared" ref="AG73:AG77" si="59">AD73+AE73-AF73</f>
        <v>2</v>
      </c>
      <c r="AH73" s="62"/>
      <c r="AI73" s="143"/>
      <c r="AJ73" s="13">
        <f t="shared" ref="AJ73:AJ77" si="60">AG73+AH73-AI73</f>
        <v>2</v>
      </c>
      <c r="AK73" s="62"/>
      <c r="AL73" s="143"/>
      <c r="AM73" s="13">
        <f t="shared" ref="AM73:AM77" si="61">AJ73+AK73-AL73</f>
        <v>2</v>
      </c>
      <c r="AN73" s="62"/>
      <c r="AO73" s="143"/>
      <c r="AP73" s="13">
        <f t="shared" ref="AP73:AP77" si="62">AM73+AN73-AO73</f>
        <v>2</v>
      </c>
      <c r="AQ73" s="62"/>
      <c r="AR73" s="143"/>
      <c r="AS73" s="13">
        <f t="shared" ref="AS73:AS77" si="63">AP73+AQ73-AR73</f>
        <v>2</v>
      </c>
      <c r="AT73" s="62"/>
      <c r="AU73" s="143">
        <v>2</v>
      </c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2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62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62"/>
      <c r="CB73" s="143"/>
      <c r="CC73" s="13">
        <f t="shared" si="39"/>
        <v>0</v>
      </c>
      <c r="CD73" s="62"/>
      <c r="CE73" s="143"/>
      <c r="CF73" s="13">
        <f t="shared" si="40"/>
        <v>0</v>
      </c>
      <c r="CG73" s="62"/>
      <c r="CH73" s="143"/>
      <c r="CI73" s="13">
        <f t="shared" si="46"/>
        <v>0</v>
      </c>
      <c r="CJ73" s="62"/>
      <c r="CK73" s="143"/>
      <c r="CL73" s="13">
        <f t="shared" si="47"/>
        <v>0</v>
      </c>
      <c r="CM73" s="62"/>
      <c r="CN73" s="143"/>
      <c r="CO73" s="13">
        <f t="shared" si="41"/>
        <v>0</v>
      </c>
      <c r="CP73" s="62"/>
      <c r="CQ73" s="143"/>
      <c r="CR73" s="13">
        <f t="shared" si="48"/>
        <v>0</v>
      </c>
      <c r="CS73" s="62"/>
      <c r="CT73" s="143"/>
      <c r="CU73" s="14">
        <f t="shared" si="42"/>
        <v>0</v>
      </c>
      <c r="CV73" s="5">
        <f t="shared" si="43"/>
        <v>0</v>
      </c>
      <c r="CW73" s="4">
        <f t="shared" si="43"/>
        <v>2</v>
      </c>
      <c r="CX73" s="6">
        <f t="shared" si="44"/>
        <v>0</v>
      </c>
      <c r="CY73" s="162">
        <v>0</v>
      </c>
      <c r="CZ73" s="171">
        <f t="shared" si="45"/>
        <v>0</v>
      </c>
      <c r="DB73" s="2">
        <f t="shared" si="49"/>
        <v>0</v>
      </c>
      <c r="DC73" s="62"/>
      <c r="DD73" s="143"/>
      <c r="DE73" s="149">
        <f t="shared" si="50"/>
        <v>0</v>
      </c>
    </row>
    <row r="74" spans="1:109" ht="15.75" customHeight="1">
      <c r="A74" s="33"/>
      <c r="B74" s="3" t="s">
        <v>265</v>
      </c>
      <c r="C74" s="104" t="s">
        <v>21</v>
      </c>
      <c r="D74" s="34"/>
      <c r="E74" s="34" t="s">
        <v>242</v>
      </c>
      <c r="F74" s="14">
        <v>0</v>
      </c>
      <c r="G74" s="62"/>
      <c r="H74" s="143"/>
      <c r="I74" s="13">
        <f t="shared" si="51"/>
        <v>0</v>
      </c>
      <c r="J74" s="62"/>
      <c r="K74" s="143"/>
      <c r="L74" s="13">
        <f t="shared" si="52"/>
        <v>0</v>
      </c>
      <c r="M74" s="62"/>
      <c r="N74" s="143"/>
      <c r="O74" s="13">
        <f t="shared" si="53"/>
        <v>0</v>
      </c>
      <c r="P74" s="62"/>
      <c r="Q74" s="143"/>
      <c r="R74" s="30">
        <f t="shared" si="54"/>
        <v>0</v>
      </c>
      <c r="S74" s="62"/>
      <c r="T74" s="143"/>
      <c r="U74" s="13">
        <f t="shared" si="55"/>
        <v>0</v>
      </c>
      <c r="V74" s="62"/>
      <c r="W74" s="143"/>
      <c r="X74" s="13">
        <f t="shared" si="56"/>
        <v>0</v>
      </c>
      <c r="Y74" s="62"/>
      <c r="Z74" s="143"/>
      <c r="AA74" s="13">
        <f t="shared" si="57"/>
        <v>0</v>
      </c>
      <c r="AB74" s="62"/>
      <c r="AC74" s="143"/>
      <c r="AD74" s="13">
        <f t="shared" si="58"/>
        <v>0</v>
      </c>
      <c r="AE74" s="62"/>
      <c r="AF74" s="143"/>
      <c r="AG74" s="13">
        <f t="shared" si="59"/>
        <v>0</v>
      </c>
      <c r="AH74" s="62"/>
      <c r="AI74" s="143"/>
      <c r="AJ74" s="13">
        <f t="shared" si="60"/>
        <v>0</v>
      </c>
      <c r="AK74" s="62"/>
      <c r="AL74" s="143"/>
      <c r="AM74" s="13">
        <f t="shared" si="61"/>
        <v>0</v>
      </c>
      <c r="AN74" s="62"/>
      <c r="AO74" s="143"/>
      <c r="AP74" s="13">
        <f t="shared" si="62"/>
        <v>0</v>
      </c>
      <c r="AQ74" s="62"/>
      <c r="AR74" s="143"/>
      <c r="AS74" s="13">
        <f t="shared" si="63"/>
        <v>0</v>
      </c>
      <c r="AT74" s="62"/>
      <c r="AU74" s="143"/>
      <c r="AV74" s="13">
        <f t="shared" si="64"/>
        <v>0</v>
      </c>
      <c r="AW74" s="62"/>
      <c r="AX74" s="143"/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62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0</v>
      </c>
      <c r="CW74" s="4">
        <f t="shared" si="43"/>
        <v>0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 t="shared" si="52"/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0</v>
      </c>
      <c r="CX75" s="6">
        <f t="shared" si="44"/>
        <v>0</v>
      </c>
      <c r="CY75" s="162">
        <v>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9</v>
      </c>
      <c r="G76" s="62">
        <f>-44-10+64</f>
        <v>10</v>
      </c>
      <c r="H76" s="143">
        <f>6+3</f>
        <v>9</v>
      </c>
      <c r="I76" s="13">
        <f t="shared" si="51"/>
        <v>10</v>
      </c>
      <c r="J76" s="62"/>
      <c r="K76" s="143"/>
      <c r="L76" s="13">
        <f t="shared" si="52"/>
        <v>10</v>
      </c>
      <c r="M76" s="62">
        <f>-30+8+44</f>
        <v>22</v>
      </c>
      <c r="N76" s="143">
        <f>6+4+6</f>
        <v>16</v>
      </c>
      <c r="O76" s="13">
        <f t="shared" si="53"/>
        <v>16</v>
      </c>
      <c r="P76" s="62">
        <f>-23+40</f>
        <v>17</v>
      </c>
      <c r="Q76" s="143">
        <f>6+10</f>
        <v>16</v>
      </c>
      <c r="R76" s="30">
        <f t="shared" si="54"/>
        <v>17</v>
      </c>
      <c r="S76" s="62">
        <f>-42-1+60</f>
        <v>17</v>
      </c>
      <c r="T76" s="143">
        <f>6+11</f>
        <v>17</v>
      </c>
      <c r="U76" s="13">
        <f t="shared" si="55"/>
        <v>17</v>
      </c>
      <c r="V76" s="62"/>
      <c r="W76" s="143"/>
      <c r="X76" s="13">
        <f t="shared" si="56"/>
        <v>17</v>
      </c>
      <c r="Y76" s="62">
        <f>-13+32</f>
        <v>19</v>
      </c>
      <c r="Z76" s="143">
        <f>6+11</f>
        <v>17</v>
      </c>
      <c r="AA76" s="13">
        <f t="shared" si="57"/>
        <v>19</v>
      </c>
      <c r="AB76" s="62">
        <f>-34+8+48</f>
        <v>22</v>
      </c>
      <c r="AC76" s="143">
        <f>9+10+5</f>
        <v>24</v>
      </c>
      <c r="AD76" s="13">
        <f t="shared" si="58"/>
        <v>17</v>
      </c>
      <c r="AE76" s="62"/>
      <c r="AF76" s="143"/>
      <c r="AG76" s="13">
        <f t="shared" si="59"/>
        <v>17</v>
      </c>
      <c r="AH76" s="62">
        <f>-27+40</f>
        <v>13</v>
      </c>
      <c r="AI76" s="143">
        <f>6+11</f>
        <v>17</v>
      </c>
      <c r="AJ76" s="13">
        <f t="shared" si="60"/>
        <v>13</v>
      </c>
      <c r="AK76" s="62">
        <f>-29+44</f>
        <v>15</v>
      </c>
      <c r="AL76" s="143">
        <f>6+7</f>
        <v>13</v>
      </c>
      <c r="AM76" s="13">
        <f t="shared" si="61"/>
        <v>15</v>
      </c>
      <c r="AN76" s="62">
        <f>-56+68</f>
        <v>12</v>
      </c>
      <c r="AO76" s="143">
        <f>6+9+8</f>
        <v>23</v>
      </c>
      <c r="AP76" s="13">
        <f t="shared" si="62"/>
        <v>4</v>
      </c>
      <c r="AQ76" s="62"/>
      <c r="AR76" s="143"/>
      <c r="AS76" s="13">
        <f t="shared" si="63"/>
        <v>4</v>
      </c>
      <c r="AT76" s="62">
        <f>-32+40</f>
        <v>8</v>
      </c>
      <c r="AU76" s="143">
        <f>3+1</f>
        <v>4</v>
      </c>
      <c r="AV76" s="13">
        <f t="shared" si="64"/>
        <v>8</v>
      </c>
      <c r="AW76" s="62">
        <f>-47+56</f>
        <v>9</v>
      </c>
      <c r="AX76" s="143">
        <f>7+1</f>
        <v>8</v>
      </c>
      <c r="AY76" s="13">
        <f t="shared" si="65"/>
        <v>9</v>
      </c>
      <c r="AZ76" s="62"/>
      <c r="BA76" s="143"/>
      <c r="BB76" s="13">
        <f t="shared" si="66"/>
        <v>9</v>
      </c>
      <c r="BC76" s="62">
        <f>-24+40</f>
        <v>16</v>
      </c>
      <c r="BD76" s="143">
        <f>3+6</f>
        <v>9</v>
      </c>
      <c r="BE76" s="13">
        <f t="shared" si="67"/>
        <v>16</v>
      </c>
      <c r="BF76" s="62">
        <f>-22+40</f>
        <v>18</v>
      </c>
      <c r="BG76" s="143">
        <f>5+11</f>
        <v>16</v>
      </c>
      <c r="BH76" s="13">
        <f t="shared" si="68"/>
        <v>18</v>
      </c>
      <c r="BI76" s="62">
        <f>-73+4+80</f>
        <v>11</v>
      </c>
      <c r="BJ76" s="143">
        <f>9+9+2</f>
        <v>20</v>
      </c>
      <c r="BK76" s="13">
        <f t="shared" si="69"/>
        <v>9</v>
      </c>
      <c r="BL76" s="62"/>
      <c r="BM76" s="143"/>
      <c r="BN76" s="13">
        <f t="shared" si="70"/>
        <v>9</v>
      </c>
      <c r="BO76" s="62">
        <f>-42+48+4</f>
        <v>10</v>
      </c>
      <c r="BP76" s="143">
        <f>4+3</f>
        <v>7</v>
      </c>
      <c r="BQ76" s="13">
        <f t="shared" si="71"/>
        <v>12</v>
      </c>
      <c r="BR76" s="62">
        <f>-24+4+32</f>
        <v>12</v>
      </c>
      <c r="BS76" s="143">
        <f>4+4+2+4</f>
        <v>14</v>
      </c>
      <c r="BT76" s="13">
        <f t="shared" si="37"/>
        <v>10</v>
      </c>
      <c r="BU76" s="62"/>
      <c r="BV76" s="143"/>
      <c r="BW76" s="13">
        <f t="shared" si="72"/>
        <v>10</v>
      </c>
      <c r="BX76" s="62">
        <f>-26+32</f>
        <v>6</v>
      </c>
      <c r="BY76" s="143">
        <f>5+5</f>
        <v>10</v>
      </c>
      <c r="BZ76" s="13">
        <f t="shared" si="38"/>
        <v>6</v>
      </c>
      <c r="CA76" s="62">
        <f>-24+44</f>
        <v>20</v>
      </c>
      <c r="CB76" s="143">
        <f>6</f>
        <v>6</v>
      </c>
      <c r="CC76" s="13">
        <f t="shared" si="39"/>
        <v>20</v>
      </c>
      <c r="CD76" s="62">
        <f>-57+60</f>
        <v>3</v>
      </c>
      <c r="CE76" s="143">
        <f>9+11</f>
        <v>20</v>
      </c>
      <c r="CF76" s="13">
        <f t="shared" si="40"/>
        <v>3</v>
      </c>
      <c r="CG76" s="62"/>
      <c r="CH76" s="143"/>
      <c r="CI76" s="13">
        <f t="shared" si="46"/>
        <v>3</v>
      </c>
      <c r="CJ76" s="62">
        <f>-47+112</f>
        <v>65</v>
      </c>
      <c r="CK76" s="143">
        <v>3</v>
      </c>
      <c r="CL76" s="13">
        <f t="shared" si="47"/>
        <v>65</v>
      </c>
      <c r="CM76" s="62"/>
      <c r="CN76" s="143">
        <f>10+37+16+1</f>
        <v>64</v>
      </c>
      <c r="CO76" s="13">
        <f t="shared" si="41"/>
        <v>1</v>
      </c>
      <c r="CP76" s="62">
        <v>52</v>
      </c>
      <c r="CQ76" s="143"/>
      <c r="CR76" s="13">
        <f t="shared" si="48"/>
        <v>53</v>
      </c>
      <c r="CS76" s="62"/>
      <c r="CT76" s="143"/>
      <c r="CU76" s="14">
        <f t="shared" si="42"/>
        <v>53</v>
      </c>
      <c r="CV76" s="5">
        <f t="shared" si="43"/>
        <v>377</v>
      </c>
      <c r="CW76" s="4">
        <f t="shared" si="43"/>
        <v>333</v>
      </c>
      <c r="CX76" s="6">
        <f t="shared" si="44"/>
        <v>53</v>
      </c>
      <c r="CY76" s="162">
        <v>380</v>
      </c>
      <c r="CZ76" s="171">
        <f t="shared" si="45"/>
        <v>20140</v>
      </c>
      <c r="DB76" s="2">
        <f t="shared" si="49"/>
        <v>53</v>
      </c>
      <c r="DC76" s="62"/>
      <c r="DD76" s="143"/>
      <c r="DE76" s="149">
        <f t="shared" si="50"/>
        <v>53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0</v>
      </c>
      <c r="G77" s="62">
        <f>-12+36</f>
        <v>24</v>
      </c>
      <c r="H77" s="143">
        <f>9+3+9+9</f>
        <v>30</v>
      </c>
      <c r="I77" s="13">
        <f>F77+G77-H77</f>
        <v>-6</v>
      </c>
      <c r="J77" s="62">
        <v>36</v>
      </c>
      <c r="K77" s="143"/>
      <c r="L77" s="13">
        <f t="shared" si="52"/>
        <v>30</v>
      </c>
      <c r="M77" s="62"/>
      <c r="N77" s="143">
        <f>2+1+1</f>
        <v>4</v>
      </c>
      <c r="O77" s="13">
        <f t="shared" si="53"/>
        <v>26</v>
      </c>
      <c r="P77" s="62"/>
      <c r="Q77" s="143">
        <f>6</f>
        <v>6</v>
      </c>
      <c r="R77" s="30">
        <f t="shared" si="54"/>
        <v>20</v>
      </c>
      <c r="S77" s="62"/>
      <c r="T77" s="143">
        <f>9+6+12</f>
        <v>27</v>
      </c>
      <c r="U77" s="13">
        <f>R77+S77-T77</f>
        <v>-7</v>
      </c>
      <c r="V77" s="62"/>
      <c r="W77" s="143"/>
      <c r="X77" s="13">
        <f t="shared" si="56"/>
        <v>-7</v>
      </c>
      <c r="Y77" s="62">
        <v>36</v>
      </c>
      <c r="Z77" s="143">
        <f>5+1</f>
        <v>6</v>
      </c>
      <c r="AA77" s="13">
        <f t="shared" si="57"/>
        <v>23</v>
      </c>
      <c r="AB77" s="62">
        <v>36</v>
      </c>
      <c r="AC77" s="143">
        <f>9+6+16+10</f>
        <v>41</v>
      </c>
      <c r="AD77" s="13">
        <f t="shared" si="58"/>
        <v>18</v>
      </c>
      <c r="AE77" s="62"/>
      <c r="AF77" s="143"/>
      <c r="AG77" s="13">
        <f t="shared" si="59"/>
        <v>18</v>
      </c>
      <c r="AH77" s="62"/>
      <c r="AI77" s="143">
        <f>9+1+1</f>
        <v>11</v>
      </c>
      <c r="AJ77" s="13">
        <f t="shared" si="60"/>
        <v>7</v>
      </c>
      <c r="AK77" s="62">
        <v>36</v>
      </c>
      <c r="AL77" s="143">
        <f>6</f>
        <v>6</v>
      </c>
      <c r="AM77" s="13">
        <f t="shared" si="61"/>
        <v>37</v>
      </c>
      <c r="AN77" s="62"/>
      <c r="AO77" s="143">
        <f>9+6+14</f>
        <v>29</v>
      </c>
      <c r="AP77" s="13">
        <f t="shared" si="62"/>
        <v>8</v>
      </c>
      <c r="AQ77" s="62"/>
      <c r="AR77" s="143"/>
      <c r="AS77" s="13">
        <f t="shared" si="63"/>
        <v>8</v>
      </c>
      <c r="AT77" s="62"/>
      <c r="AU77" s="143">
        <f>6+5+18</f>
        <v>29</v>
      </c>
      <c r="AV77" s="13">
        <f t="shared" si="64"/>
        <v>-21</v>
      </c>
      <c r="AW77" s="62">
        <v>36</v>
      </c>
      <c r="AX77" s="143">
        <f>9+6+9</f>
        <v>24</v>
      </c>
      <c r="AY77" s="13">
        <f t="shared" si="65"/>
        <v>-9</v>
      </c>
      <c r="AZ77" s="62"/>
      <c r="BA77" s="143"/>
      <c r="BB77" s="13">
        <f t="shared" si="66"/>
        <v>-9</v>
      </c>
      <c r="BC77" s="62">
        <v>36</v>
      </c>
      <c r="BD77" s="143">
        <f>10+1</f>
        <v>11</v>
      </c>
      <c r="BE77" s="13">
        <f t="shared" si="67"/>
        <v>16</v>
      </c>
      <c r="BF77" s="62">
        <v>36</v>
      </c>
      <c r="BG77" s="143">
        <f>6</f>
        <v>6</v>
      </c>
      <c r="BH77" s="13">
        <f t="shared" si="68"/>
        <v>46</v>
      </c>
      <c r="BI77" s="62"/>
      <c r="BJ77" s="143">
        <f>3+6+12</f>
        <v>21</v>
      </c>
      <c r="BK77" s="13">
        <f t="shared" si="69"/>
        <v>25</v>
      </c>
      <c r="BL77" s="62"/>
      <c r="BM77" s="143"/>
      <c r="BN77" s="13">
        <f t="shared" si="70"/>
        <v>25</v>
      </c>
      <c r="BO77" s="62">
        <v>36</v>
      </c>
      <c r="BP77" s="143">
        <f>9+6</f>
        <v>15</v>
      </c>
      <c r="BQ77" s="13">
        <f t="shared" si="71"/>
        <v>46</v>
      </c>
      <c r="BR77" s="62"/>
      <c r="BS77" s="143">
        <f>1+9+6+16+10</f>
        <v>42</v>
      </c>
      <c r="BT77" s="13">
        <f t="shared" si="37"/>
        <v>4</v>
      </c>
      <c r="BU77" s="62"/>
      <c r="BV77" s="143"/>
      <c r="BW77" s="13">
        <f t="shared" si="72"/>
        <v>4</v>
      </c>
      <c r="BX77" s="175"/>
      <c r="BY77" s="143">
        <f>2+1+1</f>
        <v>4</v>
      </c>
      <c r="BZ77" s="13">
        <f t="shared" si="38"/>
        <v>0</v>
      </c>
      <c r="CA77" s="175">
        <v>36</v>
      </c>
      <c r="CB77" s="143">
        <v>6</v>
      </c>
      <c r="CC77" s="13">
        <f t="shared" si="39"/>
        <v>30</v>
      </c>
      <c r="CD77" s="62"/>
      <c r="CE77" s="143">
        <f>9+6+11</f>
        <v>26</v>
      </c>
      <c r="CF77" s="13">
        <f t="shared" si="40"/>
        <v>4</v>
      </c>
      <c r="CG77" s="62"/>
      <c r="CH77" s="143"/>
      <c r="CI77" s="13">
        <f t="shared" si="46"/>
        <v>4</v>
      </c>
      <c r="CJ77" s="62">
        <v>4</v>
      </c>
      <c r="CK77" s="143">
        <f>8+6+15</f>
        <v>29</v>
      </c>
      <c r="CL77" s="13">
        <f t="shared" si="47"/>
        <v>-21</v>
      </c>
      <c r="CM77" s="62"/>
      <c r="CN77" s="143"/>
      <c r="CO77" s="13">
        <f t="shared" si="41"/>
        <v>-21</v>
      </c>
      <c r="CP77" s="62">
        <v>36</v>
      </c>
      <c r="CQ77" s="143"/>
      <c r="CR77" s="13">
        <f t="shared" si="48"/>
        <v>15</v>
      </c>
      <c r="CS77" s="62"/>
      <c r="CT77" s="143"/>
      <c r="CU77" s="14">
        <f t="shared" si="42"/>
        <v>15</v>
      </c>
      <c r="CV77" s="5">
        <f t="shared" si="43"/>
        <v>388</v>
      </c>
      <c r="CW77" s="4">
        <f t="shared" si="43"/>
        <v>373</v>
      </c>
      <c r="CX77" s="6">
        <f t="shared" si="44"/>
        <v>15</v>
      </c>
      <c r="CY77" s="162">
        <v>195</v>
      </c>
      <c r="CZ77" s="171">
        <f t="shared" si="45"/>
        <v>2925</v>
      </c>
      <c r="DB77" s="2">
        <f t="shared" si="49"/>
        <v>15</v>
      </c>
      <c r="DC77" s="62"/>
      <c r="DD77" s="143">
        <f>9+6</f>
        <v>15</v>
      </c>
      <c r="DE77" s="149">
        <f t="shared" si="50"/>
        <v>0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175"/>
      <c r="BY78" s="143"/>
      <c r="BZ78" s="13">
        <f t="shared" si="38"/>
        <v>0</v>
      </c>
      <c r="CA78" s="175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175"/>
      <c r="BY79" s="143"/>
      <c r="BZ79" s="13">
        <f t="shared" si="38"/>
        <v>0</v>
      </c>
      <c r="CA79" s="175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2850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5</v>
      </c>
      <c r="G80" s="62">
        <v>12</v>
      </c>
      <c r="H80" s="143">
        <v>3</v>
      </c>
      <c r="I80" s="13">
        <f t="shared" si="73"/>
        <v>14</v>
      </c>
      <c r="J80" s="62"/>
      <c r="K80" s="143"/>
      <c r="L80" s="13">
        <f t="shared" si="74"/>
        <v>14</v>
      </c>
      <c r="M80" s="62"/>
      <c r="N80" s="143">
        <f>3+1</f>
        <v>4</v>
      </c>
      <c r="O80" s="13">
        <f t="shared" si="75"/>
        <v>10</v>
      </c>
      <c r="P80" s="62"/>
      <c r="Q80" s="143"/>
      <c r="R80" s="30">
        <f t="shared" si="76"/>
        <v>10</v>
      </c>
      <c r="S80" s="62"/>
      <c r="T80" s="143"/>
      <c r="U80" s="13">
        <f t="shared" si="77"/>
        <v>10</v>
      </c>
      <c r="V80" s="62"/>
      <c r="W80" s="143"/>
      <c r="X80" s="30">
        <f t="shared" si="78"/>
        <v>10</v>
      </c>
      <c r="Y80" s="62"/>
      <c r="Z80" s="143"/>
      <c r="AA80" s="13">
        <f t="shared" si="79"/>
        <v>10</v>
      </c>
      <c r="AB80" s="62">
        <v>6</v>
      </c>
      <c r="AC80" s="143"/>
      <c r="AD80" s="13">
        <f t="shared" si="80"/>
        <v>16</v>
      </c>
      <c r="AE80" s="62"/>
      <c r="AF80" s="143"/>
      <c r="AG80" s="13">
        <f t="shared" si="81"/>
        <v>16</v>
      </c>
      <c r="AH80" s="62"/>
      <c r="AI80" s="143">
        <f>3+4+3</f>
        <v>10</v>
      </c>
      <c r="AJ80" s="13">
        <f t="shared" si="82"/>
        <v>6</v>
      </c>
      <c r="AK80" s="62"/>
      <c r="AL80" s="143"/>
      <c r="AM80" s="13">
        <f t="shared" si="83"/>
        <v>6</v>
      </c>
      <c r="AN80" s="62"/>
      <c r="AO80" s="143"/>
      <c r="AP80" s="13">
        <f t="shared" si="84"/>
        <v>6</v>
      </c>
      <c r="AQ80" s="62"/>
      <c r="AR80" s="143"/>
      <c r="AS80" s="13">
        <f t="shared" si="85"/>
        <v>6</v>
      </c>
      <c r="AT80" s="62"/>
      <c r="AU80" s="143"/>
      <c r="AV80" s="13">
        <f t="shared" si="86"/>
        <v>6</v>
      </c>
      <c r="AW80" s="62"/>
      <c r="AX80" s="143">
        <v>4</v>
      </c>
      <c r="AY80" s="13">
        <f t="shared" si="87"/>
        <v>2</v>
      </c>
      <c r="AZ80" s="62"/>
      <c r="BA80" s="143"/>
      <c r="BB80" s="13">
        <f t="shared" si="88"/>
        <v>2</v>
      </c>
      <c r="BC80" s="62">
        <v>12</v>
      </c>
      <c r="BD80" s="143">
        <f>4+3</f>
        <v>7</v>
      </c>
      <c r="BE80" s="13">
        <f t="shared" si="89"/>
        <v>7</v>
      </c>
      <c r="BF80" s="62"/>
      <c r="BG80" s="143"/>
      <c r="BH80" s="13">
        <f t="shared" si="90"/>
        <v>7</v>
      </c>
      <c r="BI80" s="62"/>
      <c r="BJ80" s="143"/>
      <c r="BK80" s="13">
        <f t="shared" si="91"/>
        <v>7</v>
      </c>
      <c r="BL80" s="62"/>
      <c r="BM80" s="143"/>
      <c r="BN80" s="13">
        <f t="shared" si="92"/>
        <v>7</v>
      </c>
      <c r="BO80" s="62"/>
      <c r="BP80" s="143"/>
      <c r="BQ80" s="13">
        <f t="shared" si="93"/>
        <v>7</v>
      </c>
      <c r="BR80" s="62">
        <v>6</v>
      </c>
      <c r="BS80" s="143"/>
      <c r="BT80" s="13">
        <f t="shared" si="37"/>
        <v>13</v>
      </c>
      <c r="BU80" s="62"/>
      <c r="BV80" s="143"/>
      <c r="BW80" s="13">
        <f t="shared" si="94"/>
        <v>13</v>
      </c>
      <c r="BX80" s="175"/>
      <c r="BY80" s="143">
        <f>3+3+3</f>
        <v>9</v>
      </c>
      <c r="BZ80" s="13">
        <f t="shared" si="38"/>
        <v>4</v>
      </c>
      <c r="CA80" s="175"/>
      <c r="CB80" s="143"/>
      <c r="CC80" s="13">
        <f t="shared" si="39"/>
        <v>4</v>
      </c>
      <c r="CD80" s="62"/>
      <c r="CE80" s="143"/>
      <c r="CF80" s="13">
        <f t="shared" si="40"/>
        <v>4</v>
      </c>
      <c r="CG80" s="62"/>
      <c r="CH80" s="143"/>
      <c r="CI80" s="13">
        <f t="shared" si="46"/>
        <v>4</v>
      </c>
      <c r="CJ80" s="62"/>
      <c r="CK80" s="143"/>
      <c r="CL80" s="13">
        <f t="shared" si="47"/>
        <v>4</v>
      </c>
      <c r="CM80" s="62"/>
      <c r="CN80" s="143"/>
      <c r="CO80" s="13">
        <f t="shared" si="41"/>
        <v>4</v>
      </c>
      <c r="CP80" s="62"/>
      <c r="CQ80" s="143"/>
      <c r="CR80" s="13">
        <f t="shared" si="48"/>
        <v>4</v>
      </c>
      <c r="CS80" s="62"/>
      <c r="CT80" s="143"/>
      <c r="CU80" s="14">
        <f t="shared" si="42"/>
        <v>4</v>
      </c>
      <c r="CV80" s="5">
        <f t="shared" si="43"/>
        <v>36</v>
      </c>
      <c r="CW80" s="4">
        <f t="shared" si="43"/>
        <v>37</v>
      </c>
      <c r="CX80" s="6">
        <f t="shared" si="95"/>
        <v>4</v>
      </c>
      <c r="CY80" s="162">
        <v>2850</v>
      </c>
      <c r="CZ80" s="171">
        <f t="shared" si="45"/>
        <v>11400</v>
      </c>
      <c r="DB80" s="2">
        <f t="shared" si="49"/>
        <v>4</v>
      </c>
      <c r="DC80" s="62"/>
      <c r="DD80" s="143">
        <f>3+3</f>
        <v>6</v>
      </c>
      <c r="DE80" s="149">
        <f t="shared" si="50"/>
        <v>-2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43</v>
      </c>
      <c r="G81" s="62"/>
      <c r="H81" s="143">
        <v>8</v>
      </c>
      <c r="I81" s="13">
        <f t="shared" si="73"/>
        <v>35</v>
      </c>
      <c r="J81" s="62"/>
      <c r="K81" s="143"/>
      <c r="L81" s="13">
        <f t="shared" si="74"/>
        <v>35</v>
      </c>
      <c r="M81" s="62">
        <f>-2+28</f>
        <v>26</v>
      </c>
      <c r="N81" s="143">
        <v>6</v>
      </c>
      <c r="O81" s="13">
        <f t="shared" si="75"/>
        <v>55</v>
      </c>
      <c r="P81" s="62"/>
      <c r="Q81" s="143">
        <v>4</v>
      </c>
      <c r="R81" s="13">
        <f t="shared" si="76"/>
        <v>51</v>
      </c>
      <c r="S81" s="62"/>
      <c r="T81" s="143">
        <v>6</v>
      </c>
      <c r="U81" s="13">
        <f t="shared" si="77"/>
        <v>45</v>
      </c>
      <c r="V81" s="62"/>
      <c r="W81" s="143"/>
      <c r="X81" s="13">
        <f t="shared" si="78"/>
        <v>45</v>
      </c>
      <c r="Y81" s="62"/>
      <c r="Z81" s="143">
        <v>1</v>
      </c>
      <c r="AA81" s="13">
        <f t="shared" si="79"/>
        <v>44</v>
      </c>
      <c r="AB81" s="62"/>
      <c r="AC81" s="143">
        <v>8</v>
      </c>
      <c r="AD81" s="13">
        <f t="shared" si="80"/>
        <v>36</v>
      </c>
      <c r="AE81" s="62"/>
      <c r="AF81" s="143"/>
      <c r="AG81" s="13">
        <f t="shared" si="81"/>
        <v>36</v>
      </c>
      <c r="AH81" s="62">
        <v>28</v>
      </c>
      <c r="AI81" s="143">
        <v>5</v>
      </c>
      <c r="AJ81" s="13">
        <f t="shared" si="82"/>
        <v>59</v>
      </c>
      <c r="AK81" s="62"/>
      <c r="AL81" s="143">
        <v>4</v>
      </c>
      <c r="AM81" s="13">
        <f t="shared" si="83"/>
        <v>55</v>
      </c>
      <c r="AN81" s="62"/>
      <c r="AO81" s="143">
        <v>5</v>
      </c>
      <c r="AP81" s="13">
        <f t="shared" si="84"/>
        <v>50</v>
      </c>
      <c r="AQ81" s="62"/>
      <c r="AR81" s="143"/>
      <c r="AS81" s="13">
        <f t="shared" si="85"/>
        <v>50</v>
      </c>
      <c r="AT81" s="62"/>
      <c r="AU81" s="143">
        <v>5</v>
      </c>
      <c r="AV81" s="13">
        <f t="shared" si="86"/>
        <v>45</v>
      </c>
      <c r="AW81" s="62"/>
      <c r="AX81" s="143">
        <v>4</v>
      </c>
      <c r="AY81" s="13">
        <f t="shared" si="87"/>
        <v>41</v>
      </c>
      <c r="AZ81" s="62"/>
      <c r="BA81" s="143"/>
      <c r="BB81" s="13">
        <f t="shared" si="88"/>
        <v>41</v>
      </c>
      <c r="BC81" s="62">
        <v>28</v>
      </c>
      <c r="BD81" s="143">
        <v>5</v>
      </c>
      <c r="BE81" s="13">
        <f t="shared" si="89"/>
        <v>64</v>
      </c>
      <c r="BF81" s="62"/>
      <c r="BG81" s="143">
        <v>1</v>
      </c>
      <c r="BH81" s="13">
        <f t="shared" si="90"/>
        <v>63</v>
      </c>
      <c r="BI81" s="62"/>
      <c r="BJ81" s="143">
        <v>7</v>
      </c>
      <c r="BK81" s="13">
        <f t="shared" si="91"/>
        <v>56</v>
      </c>
      <c r="BL81" s="62"/>
      <c r="BM81" s="143"/>
      <c r="BN81" s="13">
        <f t="shared" si="92"/>
        <v>56</v>
      </c>
      <c r="BO81" s="62"/>
      <c r="BP81" s="143">
        <v>4</v>
      </c>
      <c r="BQ81" s="13">
        <f t="shared" si="93"/>
        <v>52</v>
      </c>
      <c r="BR81" s="62"/>
      <c r="BS81" s="143">
        <v>9</v>
      </c>
      <c r="BT81" s="13">
        <f t="shared" si="37"/>
        <v>43</v>
      </c>
      <c r="BU81" s="62"/>
      <c r="BV81" s="143"/>
      <c r="BW81" s="13">
        <f t="shared" si="94"/>
        <v>43</v>
      </c>
      <c r="BX81" s="175">
        <v>28</v>
      </c>
      <c r="BY81" s="143">
        <v>4</v>
      </c>
      <c r="BZ81" s="13">
        <f t="shared" si="38"/>
        <v>67</v>
      </c>
      <c r="CA81" s="175"/>
      <c r="CB81" s="143">
        <f>6</f>
        <v>6</v>
      </c>
      <c r="CC81" s="13">
        <f t="shared" si="39"/>
        <v>61</v>
      </c>
      <c r="CD81" s="62"/>
      <c r="CE81" s="143">
        <v>7</v>
      </c>
      <c r="CF81" s="13">
        <f t="shared" si="40"/>
        <v>54</v>
      </c>
      <c r="CG81" s="62"/>
      <c r="CH81" s="143"/>
      <c r="CI81" s="13">
        <f t="shared" si="46"/>
        <v>54</v>
      </c>
      <c r="CJ81" s="62"/>
      <c r="CK81" s="143">
        <v>6</v>
      </c>
      <c r="CL81" s="13">
        <f t="shared" si="47"/>
        <v>48</v>
      </c>
      <c r="CM81" s="62"/>
      <c r="CN81" s="143">
        <v>7</v>
      </c>
      <c r="CO81" s="13">
        <f t="shared" si="41"/>
        <v>41</v>
      </c>
      <c r="CP81" s="62"/>
      <c r="CQ81" s="143"/>
      <c r="CR81" s="13">
        <f t="shared" si="48"/>
        <v>41</v>
      </c>
      <c r="CS81" s="62"/>
      <c r="CT81" s="143"/>
      <c r="CU81" s="14">
        <f t="shared" si="42"/>
        <v>41</v>
      </c>
      <c r="CV81" s="5">
        <f t="shared" si="43"/>
        <v>110</v>
      </c>
      <c r="CW81" s="4">
        <f t="shared" si="43"/>
        <v>112</v>
      </c>
      <c r="CX81" s="6">
        <f t="shared" si="95"/>
        <v>41</v>
      </c>
      <c r="CY81" s="162"/>
      <c r="CZ81" s="171">
        <f t="shared" si="45"/>
        <v>0</v>
      </c>
      <c r="DB81" s="2">
        <f t="shared" si="49"/>
        <v>41</v>
      </c>
      <c r="DC81" s="62"/>
      <c r="DD81" s="143"/>
      <c r="DE81" s="149">
        <f t="shared" si="50"/>
        <v>41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4</v>
      </c>
      <c r="G82" s="62">
        <v>6</v>
      </c>
      <c r="H82" s="143">
        <v>4</v>
      </c>
      <c r="I82" s="13">
        <f t="shared" si="73"/>
        <v>6</v>
      </c>
      <c r="J82" s="62"/>
      <c r="K82" s="143"/>
      <c r="L82" s="13">
        <f t="shared" si="74"/>
        <v>6</v>
      </c>
      <c r="M82" s="62">
        <v>6</v>
      </c>
      <c r="N82" s="143">
        <v>2</v>
      </c>
      <c r="O82" s="13">
        <f t="shared" si="75"/>
        <v>10</v>
      </c>
      <c r="P82" s="62"/>
      <c r="Q82" s="143">
        <v>2</v>
      </c>
      <c r="R82" s="30">
        <f t="shared" si="76"/>
        <v>8</v>
      </c>
      <c r="S82" s="62">
        <v>6</v>
      </c>
      <c r="T82" s="143">
        <v>2</v>
      </c>
      <c r="U82" s="13">
        <f t="shared" si="77"/>
        <v>12</v>
      </c>
      <c r="V82" s="62"/>
      <c r="W82" s="143"/>
      <c r="X82" s="13">
        <f t="shared" si="78"/>
        <v>12</v>
      </c>
      <c r="Y82" s="62"/>
      <c r="Z82" s="143">
        <v>1</v>
      </c>
      <c r="AA82" s="13">
        <f t="shared" si="79"/>
        <v>11</v>
      </c>
      <c r="AB82" s="62"/>
      <c r="AC82" s="143">
        <f>2+4</f>
        <v>6</v>
      </c>
      <c r="AD82" s="13">
        <f t="shared" si="80"/>
        <v>5</v>
      </c>
      <c r="AE82" s="62"/>
      <c r="AF82" s="143"/>
      <c r="AG82" s="13">
        <f t="shared" si="81"/>
        <v>5</v>
      </c>
      <c r="AH82" s="62">
        <v>6</v>
      </c>
      <c r="AI82" s="143"/>
      <c r="AJ82" s="13">
        <f t="shared" si="82"/>
        <v>11</v>
      </c>
      <c r="AK82" s="62"/>
      <c r="AL82" s="143">
        <v>2</v>
      </c>
      <c r="AM82" s="13">
        <f t="shared" si="83"/>
        <v>9</v>
      </c>
      <c r="AN82" s="62"/>
      <c r="AO82" s="143">
        <f>1+3+1</f>
        <v>5</v>
      </c>
      <c r="AP82" s="13">
        <f t="shared" si="84"/>
        <v>4</v>
      </c>
      <c r="AQ82" s="62"/>
      <c r="AR82" s="143"/>
      <c r="AS82" s="13">
        <f t="shared" si="85"/>
        <v>4</v>
      </c>
      <c r="AT82" s="62">
        <v>6</v>
      </c>
      <c r="AU82" s="143">
        <f>1+2</f>
        <v>3</v>
      </c>
      <c r="AV82" s="13">
        <f t="shared" si="86"/>
        <v>7</v>
      </c>
      <c r="AW82" s="62"/>
      <c r="AX82" s="143">
        <f>1+2</f>
        <v>3</v>
      </c>
      <c r="AY82" s="13">
        <f t="shared" si="87"/>
        <v>4</v>
      </c>
      <c r="AZ82" s="62"/>
      <c r="BA82" s="143"/>
      <c r="BB82" s="13">
        <f t="shared" si="88"/>
        <v>4</v>
      </c>
      <c r="BC82" s="62"/>
      <c r="BD82" s="143">
        <v>2</v>
      </c>
      <c r="BE82" s="13">
        <f t="shared" si="89"/>
        <v>2</v>
      </c>
      <c r="BF82" s="62">
        <v>6</v>
      </c>
      <c r="BG82" s="143">
        <v>1</v>
      </c>
      <c r="BH82" s="13">
        <f t="shared" si="90"/>
        <v>7</v>
      </c>
      <c r="BI82" s="62"/>
      <c r="BJ82" s="143">
        <f>1+2</f>
        <v>3</v>
      </c>
      <c r="BK82" s="13">
        <f t="shared" si="91"/>
        <v>4</v>
      </c>
      <c r="BL82" s="62"/>
      <c r="BM82" s="143"/>
      <c r="BN82" s="13">
        <f t="shared" si="92"/>
        <v>4</v>
      </c>
      <c r="BO82" s="62">
        <v>6</v>
      </c>
      <c r="BP82" s="143">
        <v>1</v>
      </c>
      <c r="BQ82" s="13">
        <f t="shared" si="93"/>
        <v>9</v>
      </c>
      <c r="BR82" s="62"/>
      <c r="BS82" s="143">
        <f>1</f>
        <v>1</v>
      </c>
      <c r="BT82" s="13">
        <f t="shared" si="37"/>
        <v>8</v>
      </c>
      <c r="BU82" s="62"/>
      <c r="BV82" s="143"/>
      <c r="BW82" s="13">
        <f t="shared" si="94"/>
        <v>8</v>
      </c>
      <c r="BX82" s="175"/>
      <c r="BY82" s="143">
        <v>1</v>
      </c>
      <c r="BZ82" s="13">
        <f t="shared" si="38"/>
        <v>7</v>
      </c>
      <c r="CA82" s="175">
        <v>6</v>
      </c>
      <c r="CB82" s="143">
        <f>7</f>
        <v>7</v>
      </c>
      <c r="CC82" s="13">
        <f t="shared" si="39"/>
        <v>6</v>
      </c>
      <c r="CD82" s="62"/>
      <c r="CE82" s="143">
        <v>1</v>
      </c>
      <c r="CF82" s="13">
        <f t="shared" si="40"/>
        <v>5</v>
      </c>
      <c r="CG82" s="62"/>
      <c r="CH82" s="143"/>
      <c r="CI82" s="13">
        <f t="shared" si="46"/>
        <v>5</v>
      </c>
      <c r="CJ82" s="62"/>
      <c r="CK82" s="143">
        <v>1</v>
      </c>
      <c r="CL82" s="13">
        <f t="shared" si="47"/>
        <v>4</v>
      </c>
      <c r="CM82" s="62"/>
      <c r="CN82" s="143">
        <f>1+1</f>
        <v>2</v>
      </c>
      <c r="CO82" s="13">
        <f t="shared" si="41"/>
        <v>2</v>
      </c>
      <c r="CP82" s="62">
        <v>12</v>
      </c>
      <c r="CQ82" s="143"/>
      <c r="CR82" s="13">
        <f t="shared" si="48"/>
        <v>14</v>
      </c>
      <c r="CS82" s="62"/>
      <c r="CT82" s="143"/>
      <c r="CU82" s="14">
        <f t="shared" si="42"/>
        <v>14</v>
      </c>
      <c r="CV82" s="129">
        <f t="shared" si="43"/>
        <v>60</v>
      </c>
      <c r="CW82" s="130">
        <f t="shared" si="43"/>
        <v>50</v>
      </c>
      <c r="CX82" s="131">
        <f t="shared" si="95"/>
        <v>14</v>
      </c>
      <c r="CY82" s="163">
        <v>0</v>
      </c>
      <c r="CZ82" s="172">
        <f t="shared" si="45"/>
        <v>0</v>
      </c>
      <c r="DB82" s="2">
        <f t="shared" si="49"/>
        <v>14</v>
      </c>
      <c r="DC82" s="62"/>
      <c r="DD82" s="143"/>
      <c r="DE82" s="149">
        <f t="shared" si="50"/>
        <v>14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49</v>
      </c>
      <c r="G83" s="62"/>
      <c r="H83" s="143">
        <f>16+10</f>
        <v>26</v>
      </c>
      <c r="I83" s="13">
        <f t="shared" si="73"/>
        <v>23</v>
      </c>
      <c r="J83" s="62"/>
      <c r="K83" s="143"/>
      <c r="L83" s="13">
        <f t="shared" si="74"/>
        <v>23</v>
      </c>
      <c r="M83" s="62">
        <v>24</v>
      </c>
      <c r="N83" s="143">
        <v>15</v>
      </c>
      <c r="O83" s="13">
        <f t="shared" si="75"/>
        <v>32</v>
      </c>
      <c r="P83" s="62">
        <v>12</v>
      </c>
      <c r="Q83" s="143">
        <f>18</f>
        <v>18</v>
      </c>
      <c r="R83" s="30">
        <f t="shared" si="76"/>
        <v>26</v>
      </c>
      <c r="S83" s="62">
        <v>72</v>
      </c>
      <c r="T83" s="143">
        <f>2+14</f>
        <v>16</v>
      </c>
      <c r="U83" s="13">
        <f t="shared" si="77"/>
        <v>82</v>
      </c>
      <c r="V83" s="62"/>
      <c r="W83" s="143"/>
      <c r="X83" s="13">
        <f t="shared" si="78"/>
        <v>82</v>
      </c>
      <c r="Y83" s="62"/>
      <c r="Z83" s="143">
        <v>24</v>
      </c>
      <c r="AA83" s="13">
        <f t="shared" si="79"/>
        <v>58</v>
      </c>
      <c r="AB83" s="62"/>
      <c r="AC83" s="143">
        <f>4+16</f>
        <v>20</v>
      </c>
      <c r="AD83" s="13">
        <f t="shared" si="80"/>
        <v>38</v>
      </c>
      <c r="AE83" s="62"/>
      <c r="AF83" s="143"/>
      <c r="AG83" s="13">
        <f t="shared" si="81"/>
        <v>38</v>
      </c>
      <c r="AH83" s="62">
        <v>36</v>
      </c>
      <c r="AI83" s="143">
        <f>4+11</f>
        <v>15</v>
      </c>
      <c r="AJ83" s="13">
        <f t="shared" si="82"/>
        <v>59</v>
      </c>
      <c r="AK83" s="62"/>
      <c r="AL83" s="143">
        <f>6+17</f>
        <v>23</v>
      </c>
      <c r="AM83" s="13">
        <f t="shared" si="83"/>
        <v>36</v>
      </c>
      <c r="AN83" s="62">
        <f>-9+108</f>
        <v>99</v>
      </c>
      <c r="AO83" s="143">
        <f>7+29+4</f>
        <v>40</v>
      </c>
      <c r="AP83" s="13">
        <f t="shared" si="84"/>
        <v>95</v>
      </c>
      <c r="AQ83" s="62"/>
      <c r="AR83" s="143"/>
      <c r="AS83" s="13">
        <f t="shared" si="85"/>
        <v>95</v>
      </c>
      <c r="AT83" s="62"/>
      <c r="AU83" s="143">
        <f>4+5</f>
        <v>9</v>
      </c>
      <c r="AV83" s="13">
        <f t="shared" si="86"/>
        <v>86</v>
      </c>
      <c r="AW83" s="62"/>
      <c r="AX83" s="143">
        <f>7+35</f>
        <v>42</v>
      </c>
      <c r="AY83" s="13">
        <f t="shared" si="87"/>
        <v>44</v>
      </c>
      <c r="AZ83" s="62"/>
      <c r="BA83" s="143"/>
      <c r="BB83" s="13">
        <f t="shared" si="88"/>
        <v>44</v>
      </c>
      <c r="BC83" s="62">
        <v>12</v>
      </c>
      <c r="BD83" s="143">
        <f>3+15</f>
        <v>18</v>
      </c>
      <c r="BE83" s="13">
        <f t="shared" si="89"/>
        <v>38</v>
      </c>
      <c r="BF83" s="62">
        <v>12</v>
      </c>
      <c r="BG83" s="143">
        <f>4+15</f>
        <v>19</v>
      </c>
      <c r="BH83" s="13">
        <f t="shared" si="90"/>
        <v>31</v>
      </c>
      <c r="BI83" s="62">
        <v>96</v>
      </c>
      <c r="BJ83" s="143">
        <f>9+41</f>
        <v>50</v>
      </c>
      <c r="BK83" s="13">
        <f t="shared" si="91"/>
        <v>77</v>
      </c>
      <c r="BL83" s="62"/>
      <c r="BM83" s="143"/>
      <c r="BN83" s="13">
        <f t="shared" si="92"/>
        <v>77</v>
      </c>
      <c r="BO83" s="62"/>
      <c r="BP83" s="143">
        <f>4+18</f>
        <v>22</v>
      </c>
      <c r="BQ83" s="13">
        <f t="shared" si="93"/>
        <v>55</v>
      </c>
      <c r="BR83" s="62"/>
      <c r="BS83" s="143">
        <f>4+8</f>
        <v>12</v>
      </c>
      <c r="BT83" s="13">
        <f t="shared" si="37"/>
        <v>43</v>
      </c>
      <c r="BU83" s="62"/>
      <c r="BV83" s="143"/>
      <c r="BW83" s="13">
        <f t="shared" si="94"/>
        <v>43</v>
      </c>
      <c r="BX83" s="175">
        <v>24</v>
      </c>
      <c r="BY83" s="143">
        <f>3+22</f>
        <v>25</v>
      </c>
      <c r="BZ83" s="13">
        <f t="shared" si="38"/>
        <v>42</v>
      </c>
      <c r="CA83" s="175">
        <v>12</v>
      </c>
      <c r="CB83" s="143">
        <f>12</f>
        <v>12</v>
      </c>
      <c r="CC83" s="13">
        <f t="shared" si="39"/>
        <v>42</v>
      </c>
      <c r="CD83" s="62">
        <v>96</v>
      </c>
      <c r="CE83" s="143">
        <f>2+27</f>
        <v>29</v>
      </c>
      <c r="CF83" s="13">
        <f t="shared" si="40"/>
        <v>109</v>
      </c>
      <c r="CG83" s="62"/>
      <c r="CH83" s="143"/>
      <c r="CI83" s="13">
        <f t="shared" si="46"/>
        <v>109</v>
      </c>
      <c r="CJ83" s="62"/>
      <c r="CK83" s="143">
        <v>32</v>
      </c>
      <c r="CL83" s="13">
        <f t="shared" si="47"/>
        <v>77</v>
      </c>
      <c r="CM83" s="62"/>
      <c r="CN83" s="143">
        <f>4+6+6</f>
        <v>16</v>
      </c>
      <c r="CO83" s="13">
        <f t="shared" si="41"/>
        <v>61</v>
      </c>
      <c r="CP83" s="62">
        <v>48</v>
      </c>
      <c r="CQ83" s="143"/>
      <c r="CR83" s="13">
        <f t="shared" si="48"/>
        <v>109</v>
      </c>
      <c r="CS83" s="62"/>
      <c r="CT83" s="143"/>
      <c r="CU83" s="14">
        <f t="shared" si="42"/>
        <v>109</v>
      </c>
      <c r="CV83" s="5">
        <f t="shared" si="43"/>
        <v>543</v>
      </c>
      <c r="CW83" s="4">
        <f t="shared" si="43"/>
        <v>483</v>
      </c>
      <c r="CX83" s="6">
        <f t="shared" si="95"/>
        <v>109</v>
      </c>
      <c r="CY83" s="164">
        <v>0</v>
      </c>
      <c r="CZ83" s="171">
        <f t="shared" si="45"/>
        <v>0</v>
      </c>
      <c r="DB83" s="2">
        <f t="shared" si="49"/>
        <v>109</v>
      </c>
      <c r="DC83" s="62"/>
      <c r="DD83" s="143"/>
      <c r="DE83" s="149">
        <f t="shared" si="50"/>
        <v>109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316789.59999999998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342132.76799999998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</mergeCells>
  <phoneticPr fontId="1"/>
  <pageMargins left="0.7" right="0.7" top="0.75" bottom="0.75" header="0.3" footer="0.3"/>
  <pageSetup paperSize="9" fitToHeight="2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9EFF9-29F6-4E5D-803D-3A3D9EDCDEFE}">
  <sheetPr codeName="Sheet38">
    <tabColor rgb="FF00B0F0"/>
    <pageSetUpPr fitToPage="1"/>
  </sheetPr>
  <dimension ref="A1:DE133"/>
  <sheetViews>
    <sheetView zoomScale="160" zoomScaleNormal="160" workbookViewId="0">
      <pane xSplit="5" ySplit="4" topLeftCell="CR11" activePane="bottomRight" state="frozen"/>
      <selection pane="topRight" activeCell="F1" sqref="F1"/>
      <selection pane="bottomLeft" activeCell="A5" sqref="A5"/>
      <selection pane="bottomRight" activeCell="CY22" sqref="CY22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5" width="5" style="10" hidden="1" customWidth="1"/>
    <col min="96" max="99" width="5" style="10" customWidth="1"/>
    <col min="100" max="102" width="6.33203125" style="1" customWidth="1"/>
    <col min="103" max="103" width="5.6640625" style="1" customWidth="1"/>
    <col min="104" max="104" width="7.77734375" style="1" customWidth="1"/>
    <col min="105" max="105" width="1.44140625" style="1" customWidth="1"/>
    <col min="106" max="106" width="5.4414062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3</v>
      </c>
      <c r="E1" s="1" t="s">
        <v>1</v>
      </c>
      <c r="F1" s="31" t="s">
        <v>2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10</v>
      </c>
      <c r="G5" s="62"/>
      <c r="H5" s="143"/>
      <c r="I5" s="13">
        <f t="shared" ref="I5:I67" si="0">F5+G5-H5</f>
        <v>10</v>
      </c>
      <c r="J5" s="62"/>
      <c r="K5" s="143"/>
      <c r="L5" s="13">
        <f t="shared" ref="L5:L67" si="1">I5+J5-K5</f>
        <v>10</v>
      </c>
      <c r="M5" s="62"/>
      <c r="N5" s="143"/>
      <c r="O5" s="13">
        <f t="shared" ref="O5:O67" si="2">L5+M5-N5</f>
        <v>10</v>
      </c>
      <c r="P5" s="62"/>
      <c r="Q5" s="143"/>
      <c r="R5" s="13">
        <f t="shared" ref="R5:R67" si="3">O5+P5-Q5</f>
        <v>10</v>
      </c>
      <c r="S5" s="62"/>
      <c r="T5" s="143"/>
      <c r="U5" s="13">
        <f t="shared" ref="U5:U68" si="4">R5+S5-T5</f>
        <v>10</v>
      </c>
      <c r="V5" s="62"/>
      <c r="W5" s="143"/>
      <c r="X5" s="13">
        <f t="shared" ref="X5:X68" si="5">U5+V5-W5</f>
        <v>10</v>
      </c>
      <c r="Y5" s="62"/>
      <c r="Z5" s="143"/>
      <c r="AA5" s="13">
        <f>X5+Y5-Z5</f>
        <v>10</v>
      </c>
      <c r="AB5" s="62"/>
      <c r="AC5" s="143"/>
      <c r="AD5" s="13">
        <f>AA5+AB5-AC5</f>
        <v>10</v>
      </c>
      <c r="AE5" s="62"/>
      <c r="AF5" s="143"/>
      <c r="AG5" s="13">
        <f>AD5+AE5-AF5</f>
        <v>10</v>
      </c>
      <c r="AH5" s="61"/>
      <c r="AI5" s="143"/>
      <c r="AJ5" s="13">
        <f>AG5+AH5-AI5</f>
        <v>10</v>
      </c>
      <c r="AK5" s="62"/>
      <c r="AL5" s="143"/>
      <c r="AM5" s="13">
        <f t="shared" ref="AM5:AM68" si="6">AJ5+AK5-AL5</f>
        <v>10</v>
      </c>
      <c r="AN5" s="62"/>
      <c r="AO5" s="143"/>
      <c r="AP5" s="13">
        <f t="shared" ref="AP5:AP68" si="7">AM5+AN5-AO5</f>
        <v>10</v>
      </c>
      <c r="AQ5" s="62"/>
      <c r="AR5" s="143"/>
      <c r="AS5" s="13">
        <f t="shared" ref="AS5:AS68" si="8">AP5+AQ5-AR5</f>
        <v>10</v>
      </c>
      <c r="AT5" s="62"/>
      <c r="AU5" s="143"/>
      <c r="AV5" s="13">
        <f t="shared" ref="AV5:AV68" si="9">AS5+AT5-AU5</f>
        <v>10</v>
      </c>
      <c r="AW5" s="62"/>
      <c r="AX5" s="143"/>
      <c r="AY5" s="13">
        <f t="shared" ref="AY5:AY68" si="10">AV5+AW5-AX5</f>
        <v>10</v>
      </c>
      <c r="AZ5" s="62"/>
      <c r="BA5" s="143"/>
      <c r="BB5" s="13">
        <f t="shared" ref="BB5:BB68" si="11">AY5+AZ5-BA5</f>
        <v>10</v>
      </c>
      <c r="BC5" s="62"/>
      <c r="BD5" s="143"/>
      <c r="BE5" s="13">
        <f t="shared" ref="BE5:BE68" si="12">BB5+BC5-BD5</f>
        <v>10</v>
      </c>
      <c r="BF5" s="62"/>
      <c r="BG5" s="143"/>
      <c r="BH5" s="13">
        <f t="shared" ref="BH5:BH68" si="13">BE5+BF5-BG5</f>
        <v>10</v>
      </c>
      <c r="BI5" s="62"/>
      <c r="BJ5" s="143"/>
      <c r="BK5" s="13">
        <f t="shared" ref="BK5:BK68" si="14">BH5+BI5-BJ5</f>
        <v>10</v>
      </c>
      <c r="BL5" s="62"/>
      <c r="BM5" s="143"/>
      <c r="BN5" s="13">
        <f t="shared" ref="BN5:BN68" si="15">BK5+BL5-BM5</f>
        <v>10</v>
      </c>
      <c r="BO5" s="62"/>
      <c r="BP5" s="143"/>
      <c r="BQ5" s="13">
        <f t="shared" ref="BQ5:BQ68" si="16">BN5+BO5-BP5</f>
        <v>10</v>
      </c>
      <c r="BR5" s="62"/>
      <c r="BS5" s="143"/>
      <c r="BT5" s="13">
        <f t="shared" ref="BT5:BT68" si="17">BQ5+BR5-BS5</f>
        <v>10</v>
      </c>
      <c r="BU5" s="62"/>
      <c r="BV5" s="143"/>
      <c r="BW5" s="13">
        <f t="shared" ref="BW5:BW68" si="18">BT5+BU5-BV5</f>
        <v>10</v>
      </c>
      <c r="BX5" s="175"/>
      <c r="BY5" s="143"/>
      <c r="BZ5" s="13">
        <f t="shared" ref="BZ5:BZ68" si="19">BW5+BX5-BY5</f>
        <v>10</v>
      </c>
      <c r="CA5" s="62"/>
      <c r="CB5" s="143"/>
      <c r="CC5" s="13">
        <f t="shared" ref="CC5:CC68" si="20">BZ5+CA5-CB5</f>
        <v>10</v>
      </c>
      <c r="CD5" s="62"/>
      <c r="CE5" s="143"/>
      <c r="CF5" s="13">
        <f t="shared" ref="CF5:CF68" si="21">CC5+CD5-CE5</f>
        <v>10</v>
      </c>
      <c r="CG5" s="62"/>
      <c r="CH5" s="143"/>
      <c r="CI5" s="13">
        <f>CF5+CG5-CH5</f>
        <v>10</v>
      </c>
      <c r="CJ5" s="62"/>
      <c r="CK5" s="143"/>
      <c r="CL5" s="13">
        <f>CI5+CJ5-CK5</f>
        <v>10</v>
      </c>
      <c r="CM5" s="62"/>
      <c r="CN5" s="143"/>
      <c r="CO5" s="181">
        <f t="shared" ref="CO5:CO68" si="22">CL5+CM5-CN5</f>
        <v>10</v>
      </c>
      <c r="CP5" s="62"/>
      <c r="CQ5" s="143"/>
      <c r="CR5" s="181">
        <f>CO5+CP5-CQ5</f>
        <v>10</v>
      </c>
      <c r="CS5" s="61"/>
      <c r="CT5" s="143"/>
      <c r="CU5" s="14">
        <f t="shared" ref="CU5:CU68" si="23">CR5+CS5-CT5</f>
        <v>10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10</v>
      </c>
      <c r="CY5" s="162">
        <v>125</v>
      </c>
      <c r="CZ5" s="171">
        <f t="shared" ref="CZ5:CZ68" si="26">CX5*CY5</f>
        <v>1250</v>
      </c>
      <c r="DB5" s="2">
        <f>CU5</f>
        <v>10</v>
      </c>
      <c r="DC5" s="61"/>
      <c r="DD5" s="143"/>
      <c r="DE5" s="149">
        <f>DC5+DB5-DD5</f>
        <v>10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3</v>
      </c>
      <c r="G6" s="62">
        <v>10</v>
      </c>
      <c r="H6" s="143">
        <f>2</f>
        <v>2</v>
      </c>
      <c r="I6" s="13">
        <f t="shared" si="0"/>
        <v>11</v>
      </c>
      <c r="J6" s="62"/>
      <c r="K6" s="143"/>
      <c r="L6" s="13">
        <f t="shared" si="1"/>
        <v>11</v>
      </c>
      <c r="M6" s="62"/>
      <c r="N6" s="143">
        <f>4</f>
        <v>4</v>
      </c>
      <c r="O6" s="13">
        <f t="shared" si="2"/>
        <v>7</v>
      </c>
      <c r="P6" s="62"/>
      <c r="Q6" s="143">
        <f>2+2</f>
        <v>4</v>
      </c>
      <c r="R6" s="13">
        <f t="shared" si="3"/>
        <v>3</v>
      </c>
      <c r="S6" s="62"/>
      <c r="T6" s="143"/>
      <c r="U6" s="13">
        <f t="shared" si="4"/>
        <v>3</v>
      </c>
      <c r="V6" s="62">
        <f>-1+10</f>
        <v>9</v>
      </c>
      <c r="W6" s="143">
        <f>3+1+1</f>
        <v>5</v>
      </c>
      <c r="X6" s="13">
        <f t="shared" si="5"/>
        <v>7</v>
      </c>
      <c r="Y6" s="62"/>
      <c r="Z6" s="143"/>
      <c r="AA6" s="13">
        <f t="shared" ref="AA6:AA68" si="27">X6+Y6-Z6</f>
        <v>7</v>
      </c>
      <c r="AB6" s="62">
        <v>10</v>
      </c>
      <c r="AC6" s="143">
        <f>3</f>
        <v>3</v>
      </c>
      <c r="AD6" s="13">
        <f t="shared" ref="AD6:AD68" si="28">AA6+AB6-AC6</f>
        <v>14</v>
      </c>
      <c r="AE6" s="62"/>
      <c r="AF6" s="143"/>
      <c r="AG6" s="13">
        <f t="shared" ref="AG6:AG68" si="29">AD6+AE6-AF6</f>
        <v>14</v>
      </c>
      <c r="AH6" s="61"/>
      <c r="AI6" s="143">
        <f>3</f>
        <v>3</v>
      </c>
      <c r="AJ6" s="13">
        <f t="shared" ref="AJ6:AJ68" si="30">AG6+AH6-AI6</f>
        <v>11</v>
      </c>
      <c r="AK6" s="62">
        <v>10</v>
      </c>
      <c r="AL6" s="143">
        <f>3+2+3+2</f>
        <v>10</v>
      </c>
      <c r="AM6" s="13">
        <f t="shared" si="6"/>
        <v>11</v>
      </c>
      <c r="AN6" s="62"/>
      <c r="AO6" s="143"/>
      <c r="AP6" s="13">
        <f t="shared" si="7"/>
        <v>11</v>
      </c>
      <c r="AQ6" s="62"/>
      <c r="AR6" s="143"/>
      <c r="AS6" s="13">
        <f t="shared" si="8"/>
        <v>11</v>
      </c>
      <c r="AT6" s="62"/>
      <c r="AU6" s="143">
        <f>2</f>
        <v>2</v>
      </c>
      <c r="AV6" s="13">
        <f t="shared" si="9"/>
        <v>9</v>
      </c>
      <c r="AW6" s="62"/>
      <c r="AX6" s="143">
        <f>3+2+2</f>
        <v>7</v>
      </c>
      <c r="AY6" s="13">
        <f t="shared" si="10"/>
        <v>2</v>
      </c>
      <c r="AZ6" s="62"/>
      <c r="BA6" s="143"/>
      <c r="BB6" s="13">
        <f t="shared" si="11"/>
        <v>2</v>
      </c>
      <c r="BC6" s="62">
        <v>10</v>
      </c>
      <c r="BD6" s="143"/>
      <c r="BE6" s="13">
        <f t="shared" si="12"/>
        <v>12</v>
      </c>
      <c r="BF6" s="62"/>
      <c r="BG6" s="143">
        <f>2</f>
        <v>2</v>
      </c>
      <c r="BH6" s="13">
        <f t="shared" si="13"/>
        <v>10</v>
      </c>
      <c r="BI6" s="62"/>
      <c r="BJ6" s="143">
        <v>2</v>
      </c>
      <c r="BK6" s="13">
        <f t="shared" si="14"/>
        <v>8</v>
      </c>
      <c r="BL6" s="62"/>
      <c r="BM6" s="143"/>
      <c r="BN6" s="13">
        <f t="shared" si="15"/>
        <v>8</v>
      </c>
      <c r="BO6" s="62"/>
      <c r="BP6" s="143">
        <v>4</v>
      </c>
      <c r="BQ6" s="13">
        <f t="shared" si="16"/>
        <v>4</v>
      </c>
      <c r="BR6" s="62">
        <v>10</v>
      </c>
      <c r="BS6" s="143">
        <f>2</f>
        <v>2</v>
      </c>
      <c r="BT6" s="13">
        <f t="shared" si="17"/>
        <v>12</v>
      </c>
      <c r="BU6" s="62"/>
      <c r="BV6" s="143"/>
      <c r="BW6" s="13">
        <f t="shared" si="18"/>
        <v>12</v>
      </c>
      <c r="BX6" s="175"/>
      <c r="BY6" s="143"/>
      <c r="BZ6" s="13">
        <f t="shared" si="19"/>
        <v>12</v>
      </c>
      <c r="CA6" s="62"/>
      <c r="CB6" s="143">
        <f>1+2+2</f>
        <v>5</v>
      </c>
      <c r="CC6" s="13">
        <f t="shared" si="20"/>
        <v>7</v>
      </c>
      <c r="CD6" s="62"/>
      <c r="CE6" s="143"/>
      <c r="CF6" s="13">
        <f t="shared" si="21"/>
        <v>7</v>
      </c>
      <c r="CG6" s="62"/>
      <c r="CH6" s="143">
        <f>1</f>
        <v>1</v>
      </c>
      <c r="CI6" s="13">
        <f t="shared" ref="CI6:CI69" si="31">CF6+CG6-CH6</f>
        <v>6</v>
      </c>
      <c r="CJ6" s="62"/>
      <c r="CK6" s="143">
        <f>2+1</f>
        <v>3</v>
      </c>
      <c r="CL6" s="13">
        <f t="shared" ref="CL6:CL69" si="32">CI6+CJ6-CK6</f>
        <v>3</v>
      </c>
      <c r="CM6" s="62"/>
      <c r="CN6" s="143">
        <f>3</f>
        <v>3</v>
      </c>
      <c r="CO6" s="13">
        <f t="shared" si="22"/>
        <v>0</v>
      </c>
      <c r="CP6" s="62"/>
      <c r="CQ6" s="143"/>
      <c r="CR6" s="13">
        <f t="shared" ref="CR6:CR69" si="33">CO6+CP6-CQ6</f>
        <v>0</v>
      </c>
      <c r="CS6" s="61">
        <v>10</v>
      </c>
      <c r="CT6" s="143"/>
      <c r="CU6" s="14">
        <f t="shared" si="23"/>
        <v>10</v>
      </c>
      <c r="CV6" s="5">
        <f t="shared" si="24"/>
        <v>69</v>
      </c>
      <c r="CW6" s="4">
        <f t="shared" si="24"/>
        <v>62</v>
      </c>
      <c r="CX6" s="6">
        <f t="shared" si="25"/>
        <v>10</v>
      </c>
      <c r="CY6" s="162">
        <v>210</v>
      </c>
      <c r="CZ6" s="171">
        <f t="shared" si="26"/>
        <v>2100</v>
      </c>
      <c r="DB6" s="2">
        <f t="shared" ref="DB6:DB69" si="34">CU6</f>
        <v>10</v>
      </c>
      <c r="DC6" s="61"/>
      <c r="DD6" s="143">
        <f>3+3</f>
        <v>6</v>
      </c>
      <c r="DE6" s="149">
        <f t="shared" ref="DE6:DE70" si="35">DC6+DB6-DD6</f>
        <v>4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1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175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1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22</v>
      </c>
      <c r="G8" s="62">
        <v>20</v>
      </c>
      <c r="H8" s="143">
        <v>10</v>
      </c>
      <c r="I8" s="13">
        <f t="shared" si="0"/>
        <v>32</v>
      </c>
      <c r="J8" s="62"/>
      <c r="K8" s="143"/>
      <c r="L8" s="13">
        <f t="shared" si="1"/>
        <v>32</v>
      </c>
      <c r="M8" s="62"/>
      <c r="N8" s="143">
        <v>7</v>
      </c>
      <c r="O8" s="13">
        <f t="shared" si="2"/>
        <v>25</v>
      </c>
      <c r="P8" s="62"/>
      <c r="Q8" s="143">
        <v>8</v>
      </c>
      <c r="R8" s="13">
        <f t="shared" si="3"/>
        <v>17</v>
      </c>
      <c r="S8" s="62"/>
      <c r="T8" s="143"/>
      <c r="U8" s="13">
        <f t="shared" si="4"/>
        <v>17</v>
      </c>
      <c r="V8" s="62">
        <v>20</v>
      </c>
      <c r="W8" s="143">
        <v>2</v>
      </c>
      <c r="X8" s="13">
        <f t="shared" si="5"/>
        <v>35</v>
      </c>
      <c r="Y8" s="62"/>
      <c r="Z8" s="143">
        <v>7</v>
      </c>
      <c r="AA8" s="13">
        <f t="shared" si="27"/>
        <v>28</v>
      </c>
      <c r="AB8" s="62"/>
      <c r="AC8" s="143">
        <v>8</v>
      </c>
      <c r="AD8" s="13">
        <f t="shared" si="28"/>
        <v>20</v>
      </c>
      <c r="AE8" s="62"/>
      <c r="AF8" s="143"/>
      <c r="AG8" s="13">
        <f t="shared" si="29"/>
        <v>20</v>
      </c>
      <c r="AH8" s="61">
        <v>20</v>
      </c>
      <c r="AI8" s="143">
        <v>8</v>
      </c>
      <c r="AJ8" s="13">
        <f t="shared" si="30"/>
        <v>32</v>
      </c>
      <c r="AK8" s="62"/>
      <c r="AL8" s="143">
        <v>8</v>
      </c>
      <c r="AM8" s="13">
        <f t="shared" si="6"/>
        <v>24</v>
      </c>
      <c r="AN8" s="62"/>
      <c r="AO8" s="143"/>
      <c r="AP8" s="13">
        <f t="shared" si="7"/>
        <v>24</v>
      </c>
      <c r="AQ8" s="62"/>
      <c r="AR8" s="143">
        <v>3</v>
      </c>
      <c r="AS8" s="13">
        <f t="shared" si="8"/>
        <v>21</v>
      </c>
      <c r="AT8" s="62">
        <v>20</v>
      </c>
      <c r="AU8" s="143">
        <v>7</v>
      </c>
      <c r="AV8" s="13">
        <f t="shared" si="9"/>
        <v>34</v>
      </c>
      <c r="AW8" s="62"/>
      <c r="AX8" s="143">
        <v>12</v>
      </c>
      <c r="AY8" s="13">
        <f t="shared" si="10"/>
        <v>22</v>
      </c>
      <c r="AZ8" s="62"/>
      <c r="BA8" s="143"/>
      <c r="BB8" s="13">
        <f t="shared" si="11"/>
        <v>22</v>
      </c>
      <c r="BC8" s="62">
        <v>20</v>
      </c>
      <c r="BD8" s="143">
        <v>7</v>
      </c>
      <c r="BE8" s="13">
        <f t="shared" si="12"/>
        <v>35</v>
      </c>
      <c r="BF8" s="62"/>
      <c r="BG8" s="143">
        <v>9</v>
      </c>
      <c r="BH8" s="13">
        <f t="shared" si="13"/>
        <v>26</v>
      </c>
      <c r="BI8" s="62"/>
      <c r="BJ8" s="143"/>
      <c r="BK8" s="13">
        <f t="shared" si="14"/>
        <v>26</v>
      </c>
      <c r="BL8" s="62"/>
      <c r="BM8" s="143">
        <v>5</v>
      </c>
      <c r="BN8" s="13">
        <f t="shared" si="15"/>
        <v>21</v>
      </c>
      <c r="BO8" s="62">
        <v>20</v>
      </c>
      <c r="BP8" s="143">
        <v>5</v>
      </c>
      <c r="BQ8" s="13">
        <f t="shared" si="16"/>
        <v>36</v>
      </c>
      <c r="BR8" s="62">
        <v>20</v>
      </c>
      <c r="BS8" s="143">
        <v>16</v>
      </c>
      <c r="BT8" s="13">
        <f t="shared" si="17"/>
        <v>40</v>
      </c>
      <c r="BU8" s="62"/>
      <c r="BV8" s="143"/>
      <c r="BW8" s="13">
        <f t="shared" si="18"/>
        <v>40</v>
      </c>
      <c r="BX8" s="175"/>
      <c r="BY8" s="143">
        <v>6</v>
      </c>
      <c r="BZ8" s="13">
        <f t="shared" si="19"/>
        <v>34</v>
      </c>
      <c r="CA8" s="62"/>
      <c r="CB8" s="143">
        <v>9</v>
      </c>
      <c r="CC8" s="13">
        <f t="shared" si="20"/>
        <v>25</v>
      </c>
      <c r="CD8" s="62"/>
      <c r="CE8" s="143"/>
      <c r="CF8" s="13">
        <f t="shared" si="21"/>
        <v>25</v>
      </c>
      <c r="CG8" s="62"/>
      <c r="CH8" s="143">
        <v>6</v>
      </c>
      <c r="CI8" s="13">
        <f t="shared" si="31"/>
        <v>19</v>
      </c>
      <c r="CJ8" s="62">
        <v>20</v>
      </c>
      <c r="CK8" s="143">
        <v>6</v>
      </c>
      <c r="CL8" s="13">
        <f t="shared" si="32"/>
        <v>33</v>
      </c>
      <c r="CM8" s="62"/>
      <c r="CN8" s="143">
        <v>13</v>
      </c>
      <c r="CO8" s="13">
        <f t="shared" si="22"/>
        <v>20</v>
      </c>
      <c r="CP8" s="62"/>
      <c r="CQ8" s="143"/>
      <c r="CR8" s="13">
        <f t="shared" si="33"/>
        <v>20</v>
      </c>
      <c r="CS8" s="61"/>
      <c r="CT8" s="143">
        <v>9</v>
      </c>
      <c r="CU8" s="14">
        <f t="shared" si="23"/>
        <v>11</v>
      </c>
      <c r="CV8" s="5">
        <f t="shared" si="24"/>
        <v>160</v>
      </c>
      <c r="CW8" s="4">
        <f t="shared" si="24"/>
        <v>171</v>
      </c>
      <c r="CX8" s="6">
        <f t="shared" si="25"/>
        <v>11</v>
      </c>
      <c r="CY8" s="162">
        <v>125</v>
      </c>
      <c r="CZ8" s="171">
        <f t="shared" si="26"/>
        <v>1375</v>
      </c>
      <c r="DB8" s="2">
        <f t="shared" si="34"/>
        <v>11</v>
      </c>
      <c r="DC8" s="61"/>
      <c r="DD8" s="143"/>
      <c r="DE8" s="149">
        <f t="shared" si="35"/>
        <v>11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1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175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1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175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1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66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66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49</v>
      </c>
      <c r="G12" s="62">
        <f>-21+80</f>
        <v>59</v>
      </c>
      <c r="H12" s="143">
        <f>6+43</f>
        <v>49</v>
      </c>
      <c r="I12" s="13">
        <f t="shared" si="0"/>
        <v>59</v>
      </c>
      <c r="J12" s="62"/>
      <c r="K12" s="143"/>
      <c r="L12" s="13">
        <f t="shared" si="1"/>
        <v>59</v>
      </c>
      <c r="M12" s="62">
        <v>40</v>
      </c>
      <c r="N12" s="143">
        <f>6+20</f>
        <v>26</v>
      </c>
      <c r="O12" s="13">
        <f t="shared" si="2"/>
        <v>73</v>
      </c>
      <c r="P12" s="62">
        <v>20</v>
      </c>
      <c r="Q12" s="143">
        <f>4+30</f>
        <v>34</v>
      </c>
      <c r="R12" s="13">
        <f t="shared" si="3"/>
        <v>59</v>
      </c>
      <c r="S12" s="62"/>
      <c r="T12" s="143"/>
      <c r="U12" s="13">
        <f t="shared" si="4"/>
        <v>59</v>
      </c>
      <c r="V12" s="62">
        <v>40</v>
      </c>
      <c r="W12" s="143">
        <f>6+16</f>
        <v>22</v>
      </c>
      <c r="X12" s="13">
        <f t="shared" si="5"/>
        <v>77</v>
      </c>
      <c r="Y12" s="62">
        <v>40</v>
      </c>
      <c r="Z12" s="143">
        <f>5+26</f>
        <v>31</v>
      </c>
      <c r="AA12" s="13">
        <f t="shared" si="27"/>
        <v>86</v>
      </c>
      <c r="AB12" s="62">
        <v>40</v>
      </c>
      <c r="AC12" s="143">
        <v>52</v>
      </c>
      <c r="AD12" s="13">
        <f t="shared" si="28"/>
        <v>74</v>
      </c>
      <c r="AE12" s="62"/>
      <c r="AF12" s="143"/>
      <c r="AG12" s="13">
        <f t="shared" si="29"/>
        <v>74</v>
      </c>
      <c r="AH12" s="61">
        <v>20</v>
      </c>
      <c r="AI12" s="143">
        <f>6+39</f>
        <v>45</v>
      </c>
      <c r="AJ12" s="13">
        <f t="shared" si="30"/>
        <v>49</v>
      </c>
      <c r="AK12" s="62">
        <f>-2+40</f>
        <v>38</v>
      </c>
      <c r="AL12" s="143">
        <f>6+43</f>
        <v>49</v>
      </c>
      <c r="AM12" s="13">
        <f t="shared" si="6"/>
        <v>38</v>
      </c>
      <c r="AN12" s="62"/>
      <c r="AO12" s="143"/>
      <c r="AP12" s="13">
        <f t="shared" si="7"/>
        <v>38</v>
      </c>
      <c r="AQ12" s="62">
        <v>40</v>
      </c>
      <c r="AR12" s="143">
        <f>6+21</f>
        <v>27</v>
      </c>
      <c r="AS12" s="13">
        <f t="shared" si="8"/>
        <v>51</v>
      </c>
      <c r="AT12" s="62">
        <v>40</v>
      </c>
      <c r="AU12" s="143">
        <f>6+14</f>
        <v>20</v>
      </c>
      <c r="AV12" s="13">
        <f t="shared" si="9"/>
        <v>71</v>
      </c>
      <c r="AW12" s="62">
        <f>-1+20+20</f>
        <v>39</v>
      </c>
      <c r="AX12" s="143">
        <f>8+63</f>
        <v>71</v>
      </c>
      <c r="AY12" s="13">
        <f t="shared" si="10"/>
        <v>39</v>
      </c>
      <c r="AZ12" s="62"/>
      <c r="BA12" s="143"/>
      <c r="BB12" s="13">
        <f t="shared" si="11"/>
        <v>39</v>
      </c>
      <c r="BC12" s="62">
        <v>60</v>
      </c>
      <c r="BD12" s="143">
        <f>4+10</f>
        <v>14</v>
      </c>
      <c r="BE12" s="13">
        <f t="shared" si="12"/>
        <v>85</v>
      </c>
      <c r="BF12" s="62">
        <v>40</v>
      </c>
      <c r="BG12" s="143">
        <f>8+48</f>
        <v>56</v>
      </c>
      <c r="BH12" s="13">
        <f t="shared" si="13"/>
        <v>69</v>
      </c>
      <c r="BI12" s="62"/>
      <c r="BJ12" s="143"/>
      <c r="BK12" s="13">
        <f t="shared" si="14"/>
        <v>69</v>
      </c>
      <c r="BL12" s="62"/>
      <c r="BM12" s="143">
        <f>16+12</f>
        <v>28</v>
      </c>
      <c r="BN12" s="13">
        <f t="shared" si="15"/>
        <v>41</v>
      </c>
      <c r="BO12" s="62">
        <f>-4+40+20</f>
        <v>56</v>
      </c>
      <c r="BP12" s="143">
        <f>5+36</f>
        <v>41</v>
      </c>
      <c r="BQ12" s="13">
        <f t="shared" si="16"/>
        <v>56</v>
      </c>
      <c r="BR12" s="62">
        <f>-8+40</f>
        <v>32</v>
      </c>
      <c r="BS12" s="143">
        <f>6+50+4</f>
        <v>60</v>
      </c>
      <c r="BT12" s="13">
        <f t="shared" si="17"/>
        <v>28</v>
      </c>
      <c r="BU12" s="62"/>
      <c r="BV12" s="143"/>
      <c r="BW12" s="13">
        <f t="shared" si="18"/>
        <v>28</v>
      </c>
      <c r="BX12" s="175">
        <v>60</v>
      </c>
      <c r="BY12" s="143">
        <v>27</v>
      </c>
      <c r="BZ12" s="13">
        <f t="shared" si="19"/>
        <v>61</v>
      </c>
      <c r="CA12" s="62">
        <v>40</v>
      </c>
      <c r="CB12" s="143">
        <f>4+52</f>
        <v>56</v>
      </c>
      <c r="CC12" s="13">
        <f t="shared" si="20"/>
        <v>45</v>
      </c>
      <c r="CD12" s="62"/>
      <c r="CE12" s="143"/>
      <c r="CF12" s="13">
        <f t="shared" si="21"/>
        <v>45</v>
      </c>
      <c r="CG12" s="62">
        <v>20</v>
      </c>
      <c r="CH12" s="143">
        <f>4+25</f>
        <v>29</v>
      </c>
      <c r="CI12" s="13">
        <f t="shared" si="31"/>
        <v>36</v>
      </c>
      <c r="CJ12" s="62">
        <v>60</v>
      </c>
      <c r="CK12" s="143">
        <f>3+17</f>
        <v>20</v>
      </c>
      <c r="CL12" s="13">
        <f t="shared" si="32"/>
        <v>76</v>
      </c>
      <c r="CM12" s="62">
        <f>-6+40</f>
        <v>34</v>
      </c>
      <c r="CN12" s="143">
        <f>6+70</f>
        <v>76</v>
      </c>
      <c r="CO12" s="13">
        <f t="shared" si="22"/>
        <v>34</v>
      </c>
      <c r="CP12" s="62"/>
      <c r="CQ12" s="143"/>
      <c r="CR12" s="13">
        <f t="shared" si="33"/>
        <v>34</v>
      </c>
      <c r="CS12" s="61">
        <v>20</v>
      </c>
      <c r="CT12" s="143">
        <f>6+15</f>
        <v>21</v>
      </c>
      <c r="CU12" s="14">
        <f t="shared" si="23"/>
        <v>33</v>
      </c>
      <c r="CV12" s="5">
        <f t="shared" si="24"/>
        <v>838</v>
      </c>
      <c r="CW12" s="4">
        <f t="shared" si="24"/>
        <v>854</v>
      </c>
      <c r="CX12" s="6">
        <f t="shared" si="25"/>
        <v>33</v>
      </c>
      <c r="CY12" s="162">
        <v>45</v>
      </c>
      <c r="CZ12" s="171">
        <f t="shared" si="26"/>
        <v>1485</v>
      </c>
      <c r="DB12" s="2">
        <f t="shared" si="34"/>
        <v>33</v>
      </c>
      <c r="DC12" s="61"/>
      <c r="DD12" s="143"/>
      <c r="DE12" s="149">
        <f t="shared" si="35"/>
        <v>33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3.75</v>
      </c>
      <c r="G13" s="62">
        <v>6</v>
      </c>
      <c r="H13" s="143">
        <v>1</v>
      </c>
      <c r="I13" s="13">
        <f t="shared" si="0"/>
        <v>8.75</v>
      </c>
      <c r="J13" s="62"/>
      <c r="K13" s="143"/>
      <c r="L13" s="13">
        <f t="shared" si="1"/>
        <v>8.75</v>
      </c>
      <c r="M13" s="62"/>
      <c r="N13" s="143">
        <f>2</f>
        <v>2</v>
      </c>
      <c r="O13" s="13">
        <f t="shared" si="2"/>
        <v>6.75</v>
      </c>
      <c r="P13" s="62">
        <v>6</v>
      </c>
      <c r="Q13" s="143">
        <f>1+0.75+1+2.75+0.5</f>
        <v>6</v>
      </c>
      <c r="R13" s="30">
        <f t="shared" si="3"/>
        <v>6.75</v>
      </c>
      <c r="S13" s="62"/>
      <c r="T13" s="143"/>
      <c r="U13" s="13">
        <f t="shared" si="4"/>
        <v>6.75</v>
      </c>
      <c r="V13" s="62"/>
      <c r="W13" s="143">
        <f>1</f>
        <v>1</v>
      </c>
      <c r="X13" s="13">
        <f t="shared" si="5"/>
        <v>5.75</v>
      </c>
      <c r="Y13" s="62">
        <v>6</v>
      </c>
      <c r="Z13" s="143">
        <f>1.25-0.25</f>
        <v>1</v>
      </c>
      <c r="AA13" s="13">
        <f t="shared" si="27"/>
        <v>10.75</v>
      </c>
      <c r="AB13" s="62"/>
      <c r="AC13" s="143">
        <f>1</f>
        <v>1</v>
      </c>
      <c r="AD13" s="13">
        <f t="shared" si="28"/>
        <v>9.75</v>
      </c>
      <c r="AE13" s="62"/>
      <c r="AF13" s="143"/>
      <c r="AG13" s="13">
        <f t="shared" si="29"/>
        <v>9.75</v>
      </c>
      <c r="AH13" s="61"/>
      <c r="AI13" s="143"/>
      <c r="AJ13" s="13">
        <f t="shared" si="30"/>
        <v>9.75</v>
      </c>
      <c r="AK13" s="62"/>
      <c r="AL13" s="143">
        <v>1</v>
      </c>
      <c r="AM13" s="13">
        <f t="shared" si="6"/>
        <v>8.75</v>
      </c>
      <c r="AN13" s="62"/>
      <c r="AO13" s="143"/>
      <c r="AP13" s="13">
        <f t="shared" si="7"/>
        <v>8.75</v>
      </c>
      <c r="AQ13" s="62"/>
      <c r="AR13" s="143">
        <f>1+2.75</f>
        <v>3.75</v>
      </c>
      <c r="AS13" s="13">
        <f t="shared" si="8"/>
        <v>5</v>
      </c>
      <c r="AT13" s="62"/>
      <c r="AU13" s="143"/>
      <c r="AV13" s="13">
        <f t="shared" si="9"/>
        <v>5</v>
      </c>
      <c r="AW13" s="62">
        <v>6</v>
      </c>
      <c r="AX13" s="143">
        <f>1+5</f>
        <v>6</v>
      </c>
      <c r="AY13" s="13">
        <f t="shared" si="10"/>
        <v>5</v>
      </c>
      <c r="AZ13" s="62"/>
      <c r="BA13" s="143"/>
      <c r="BB13" s="13">
        <f t="shared" si="11"/>
        <v>5</v>
      </c>
      <c r="BC13" s="62">
        <v>6</v>
      </c>
      <c r="BD13" s="143"/>
      <c r="BE13" s="13">
        <f t="shared" si="12"/>
        <v>11</v>
      </c>
      <c r="BF13" s="62">
        <v>6</v>
      </c>
      <c r="BG13" s="143">
        <f>1+3</f>
        <v>4</v>
      </c>
      <c r="BH13" s="13">
        <f t="shared" si="13"/>
        <v>13</v>
      </c>
      <c r="BI13" s="62"/>
      <c r="BJ13" s="143"/>
      <c r="BK13" s="13">
        <f t="shared" si="14"/>
        <v>13</v>
      </c>
      <c r="BL13" s="62"/>
      <c r="BM13" s="143">
        <f>1</f>
        <v>1</v>
      </c>
      <c r="BN13" s="13">
        <f t="shared" si="15"/>
        <v>12</v>
      </c>
      <c r="BO13" s="62"/>
      <c r="BP13" s="143">
        <v>2</v>
      </c>
      <c r="BQ13" s="13">
        <f t="shared" si="16"/>
        <v>10</v>
      </c>
      <c r="BR13" s="62"/>
      <c r="BS13" s="143">
        <v>1</v>
      </c>
      <c r="BT13" s="13">
        <f t="shared" si="17"/>
        <v>9</v>
      </c>
      <c r="BU13" s="62"/>
      <c r="BV13" s="143"/>
      <c r="BW13" s="13">
        <f t="shared" si="18"/>
        <v>9</v>
      </c>
      <c r="BX13" s="175"/>
      <c r="BY13" s="143"/>
      <c r="BZ13" s="13">
        <f t="shared" si="19"/>
        <v>9</v>
      </c>
      <c r="CA13" s="62"/>
      <c r="CB13" s="143">
        <f>1+0.5</f>
        <v>1.5</v>
      </c>
      <c r="CC13" s="13">
        <f t="shared" si="20"/>
        <v>7.5</v>
      </c>
      <c r="CD13" s="62"/>
      <c r="CE13" s="143"/>
      <c r="CF13" s="13">
        <f t="shared" si="21"/>
        <v>7.5</v>
      </c>
      <c r="CG13" s="62"/>
      <c r="CH13" s="143">
        <f>1+2.5</f>
        <v>3.5</v>
      </c>
      <c r="CI13" s="13">
        <f>CF13+CG13-CH13</f>
        <v>4</v>
      </c>
      <c r="CJ13" s="62"/>
      <c r="CK13" s="143"/>
      <c r="CL13" s="13">
        <f>CI13+CJ13-CK13</f>
        <v>4</v>
      </c>
      <c r="CM13" s="62">
        <v>6</v>
      </c>
      <c r="CN13" s="143">
        <f>1+1+1+1+0.25</f>
        <v>4.25</v>
      </c>
      <c r="CO13" s="13">
        <f t="shared" si="22"/>
        <v>5.75</v>
      </c>
      <c r="CP13" s="62"/>
      <c r="CQ13" s="143"/>
      <c r="CR13" s="13">
        <f t="shared" si="33"/>
        <v>5.75</v>
      </c>
      <c r="CS13" s="61"/>
      <c r="CT13" s="143"/>
      <c r="CU13" s="14">
        <f t="shared" si="23"/>
        <v>5.75</v>
      </c>
      <c r="CV13" s="5">
        <f t="shared" si="24"/>
        <v>42</v>
      </c>
      <c r="CW13" s="4">
        <f t="shared" si="24"/>
        <v>40</v>
      </c>
      <c r="CX13" s="6">
        <f t="shared" si="25"/>
        <v>5.75</v>
      </c>
      <c r="CY13" s="162">
        <v>583</v>
      </c>
      <c r="CZ13" s="171">
        <f t="shared" si="26"/>
        <v>3352.25</v>
      </c>
      <c r="DB13" s="2">
        <f t="shared" si="34"/>
        <v>5.75</v>
      </c>
      <c r="DC13" s="61"/>
      <c r="DD13" s="143"/>
      <c r="DE13" s="149">
        <f t="shared" si="35"/>
        <v>5.75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4</v>
      </c>
      <c r="G14" s="62">
        <v>8</v>
      </c>
      <c r="H14" s="143">
        <f>1+1+2</f>
        <v>4</v>
      </c>
      <c r="I14" s="13">
        <f t="shared" si="0"/>
        <v>8</v>
      </c>
      <c r="J14" s="62"/>
      <c r="K14" s="143"/>
      <c r="L14" s="13">
        <f t="shared" si="1"/>
        <v>8</v>
      </c>
      <c r="M14" s="62">
        <v>8</v>
      </c>
      <c r="N14" s="143">
        <f>2+3+1.5+1</f>
        <v>7.5</v>
      </c>
      <c r="O14" s="13">
        <f t="shared" si="2"/>
        <v>8.5</v>
      </c>
      <c r="P14" s="62">
        <v>16</v>
      </c>
      <c r="Q14" s="143">
        <f>1.5+2+1+2+2+1+1.5+2+3</f>
        <v>16</v>
      </c>
      <c r="R14" s="30">
        <f t="shared" si="3"/>
        <v>8.5</v>
      </c>
      <c r="S14" s="62"/>
      <c r="T14" s="143"/>
      <c r="U14" s="13">
        <f t="shared" si="4"/>
        <v>8.5</v>
      </c>
      <c r="V14" s="62"/>
      <c r="W14" s="143">
        <f>0.5+0.5+0.5</f>
        <v>1.5</v>
      </c>
      <c r="X14" s="13">
        <f t="shared" si="5"/>
        <v>7</v>
      </c>
      <c r="Y14" s="62">
        <v>16</v>
      </c>
      <c r="Z14" s="143">
        <f>2+1+1.5+2.5+1</f>
        <v>8</v>
      </c>
      <c r="AA14" s="13">
        <f t="shared" si="27"/>
        <v>15</v>
      </c>
      <c r="AB14" s="62"/>
      <c r="AC14" s="143">
        <f>3+2+2+3+3</f>
        <v>13</v>
      </c>
      <c r="AD14" s="13">
        <f t="shared" si="28"/>
        <v>2</v>
      </c>
      <c r="AE14" s="62"/>
      <c r="AF14" s="143"/>
      <c r="AG14" s="13">
        <f t="shared" si="29"/>
        <v>2</v>
      </c>
      <c r="AH14" s="61">
        <v>18</v>
      </c>
      <c r="AI14" s="143">
        <f>2+3+2+1.5+1+1</f>
        <v>10.5</v>
      </c>
      <c r="AJ14" s="13">
        <f t="shared" si="30"/>
        <v>9.5</v>
      </c>
      <c r="AK14" s="62">
        <v>8</v>
      </c>
      <c r="AL14" s="143">
        <f>2+1+1.5+2+1+1+2</f>
        <v>10.5</v>
      </c>
      <c r="AM14" s="13">
        <f t="shared" si="6"/>
        <v>7</v>
      </c>
      <c r="AN14" s="62"/>
      <c r="AO14" s="143"/>
      <c r="AP14" s="13">
        <f t="shared" si="7"/>
        <v>7</v>
      </c>
      <c r="AQ14" s="62">
        <v>8</v>
      </c>
      <c r="AR14" s="143">
        <f>2+1</f>
        <v>3</v>
      </c>
      <c r="AS14" s="13">
        <f t="shared" si="8"/>
        <v>12</v>
      </c>
      <c r="AT14" s="62"/>
      <c r="AU14" s="143"/>
      <c r="AV14" s="13">
        <f t="shared" si="9"/>
        <v>12</v>
      </c>
      <c r="AW14" s="62"/>
      <c r="AX14" s="143">
        <f>1+3</f>
        <v>4</v>
      </c>
      <c r="AY14" s="180">
        <f t="shared" si="10"/>
        <v>8</v>
      </c>
      <c r="AZ14" s="62"/>
      <c r="BA14" s="143"/>
      <c r="BB14" s="13">
        <f t="shared" si="11"/>
        <v>8</v>
      </c>
      <c r="BC14" s="62">
        <v>8</v>
      </c>
      <c r="BD14" s="143">
        <f>3+3+3</f>
        <v>9</v>
      </c>
      <c r="BE14" s="13">
        <f t="shared" si="12"/>
        <v>7</v>
      </c>
      <c r="BF14" s="62">
        <v>8</v>
      </c>
      <c r="BG14" s="143">
        <f>1+2</f>
        <v>3</v>
      </c>
      <c r="BH14" s="13">
        <f t="shared" si="13"/>
        <v>12</v>
      </c>
      <c r="BI14" s="62"/>
      <c r="BJ14" s="143"/>
      <c r="BK14" s="13">
        <f t="shared" si="14"/>
        <v>12</v>
      </c>
      <c r="BL14" s="62"/>
      <c r="BM14" s="143"/>
      <c r="BN14" s="13">
        <f t="shared" si="15"/>
        <v>12</v>
      </c>
      <c r="BO14" s="62"/>
      <c r="BP14" s="143">
        <v>2.5</v>
      </c>
      <c r="BQ14" s="13">
        <f t="shared" si="16"/>
        <v>9.5</v>
      </c>
      <c r="BR14" s="62">
        <v>8</v>
      </c>
      <c r="BS14" s="143">
        <f>1+2+2+1</f>
        <v>6</v>
      </c>
      <c r="BT14" s="13">
        <f t="shared" si="17"/>
        <v>11.5</v>
      </c>
      <c r="BU14" s="62"/>
      <c r="BV14" s="143"/>
      <c r="BW14" s="13">
        <f t="shared" si="18"/>
        <v>11.5</v>
      </c>
      <c r="BX14" s="175"/>
      <c r="BY14" s="143">
        <f>1.5+2</f>
        <v>3.5</v>
      </c>
      <c r="BZ14" s="13">
        <f t="shared" si="19"/>
        <v>8</v>
      </c>
      <c r="CA14" s="62">
        <v>8</v>
      </c>
      <c r="CB14" s="143">
        <f>1+2+1.5+2</f>
        <v>6.5</v>
      </c>
      <c r="CC14" s="13">
        <f t="shared" si="20"/>
        <v>9.5</v>
      </c>
      <c r="CD14" s="62"/>
      <c r="CE14" s="143"/>
      <c r="CF14" s="13">
        <f t="shared" si="21"/>
        <v>9.5</v>
      </c>
      <c r="CG14" s="62"/>
      <c r="CH14" s="143">
        <f>2+0.5+0.5+0.5</f>
        <v>3.5</v>
      </c>
      <c r="CI14" s="13">
        <f t="shared" si="31"/>
        <v>6</v>
      </c>
      <c r="CJ14" s="62"/>
      <c r="CK14" s="143"/>
      <c r="CL14" s="13">
        <f t="shared" si="32"/>
        <v>6</v>
      </c>
      <c r="CM14" s="62">
        <v>8</v>
      </c>
      <c r="CN14" s="143">
        <f>2+4+2+2</f>
        <v>10</v>
      </c>
      <c r="CO14" s="13">
        <f t="shared" si="22"/>
        <v>4</v>
      </c>
      <c r="CP14" s="62"/>
      <c r="CQ14" s="143"/>
      <c r="CR14" s="13">
        <f t="shared" si="33"/>
        <v>4</v>
      </c>
      <c r="CS14" s="61">
        <v>8</v>
      </c>
      <c r="CT14" s="143"/>
      <c r="CU14" s="14">
        <f t="shared" si="23"/>
        <v>12</v>
      </c>
      <c r="CV14" s="5">
        <f t="shared" si="24"/>
        <v>130</v>
      </c>
      <c r="CW14" s="4">
        <f t="shared" si="24"/>
        <v>122</v>
      </c>
      <c r="CX14" s="6">
        <f t="shared" si="25"/>
        <v>12</v>
      </c>
      <c r="CY14" s="162">
        <v>275</v>
      </c>
      <c r="CZ14" s="171">
        <f t="shared" si="26"/>
        <v>3300</v>
      </c>
      <c r="DB14" s="2">
        <f t="shared" si="34"/>
        <v>12</v>
      </c>
      <c r="DC14" s="61"/>
      <c r="DD14" s="143">
        <f>2+2+2+1</f>
        <v>7</v>
      </c>
      <c r="DE14" s="149">
        <f t="shared" si="35"/>
        <v>5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18</v>
      </c>
      <c r="G15" s="62">
        <v>90</v>
      </c>
      <c r="H15" s="143">
        <f>4+6+2+8+12+9+8</f>
        <v>49</v>
      </c>
      <c r="I15" s="13">
        <f t="shared" si="0"/>
        <v>59</v>
      </c>
      <c r="J15" s="62"/>
      <c r="K15" s="143"/>
      <c r="L15" s="13">
        <f t="shared" si="1"/>
        <v>59</v>
      </c>
      <c r="M15" s="62">
        <v>90</v>
      </c>
      <c r="N15" s="143">
        <f>20+8+3+6+9</f>
        <v>46</v>
      </c>
      <c r="O15" s="13">
        <f t="shared" si="2"/>
        <v>103</v>
      </c>
      <c r="P15" s="62"/>
      <c r="Q15" s="143">
        <f>2+10+7+20+3+8</f>
        <v>50</v>
      </c>
      <c r="R15" s="30">
        <f t="shared" si="3"/>
        <v>53</v>
      </c>
      <c r="S15" s="62"/>
      <c r="T15" s="143"/>
      <c r="U15" s="13">
        <f t="shared" si="4"/>
        <v>53</v>
      </c>
      <c r="V15" s="62">
        <v>14</v>
      </c>
      <c r="W15" s="143">
        <f>10+7+3+2</f>
        <v>22</v>
      </c>
      <c r="X15" s="13">
        <f t="shared" si="5"/>
        <v>45</v>
      </c>
      <c r="Y15" s="62"/>
      <c r="Z15" s="143">
        <f>20+9</f>
        <v>29</v>
      </c>
      <c r="AA15" s="13">
        <f t="shared" si="27"/>
        <v>16</v>
      </c>
      <c r="AB15" s="62">
        <v>45</v>
      </c>
      <c r="AC15" s="143">
        <f>1+1+7+11+9+8</f>
        <v>37</v>
      </c>
      <c r="AD15" s="13">
        <f t="shared" si="28"/>
        <v>24</v>
      </c>
      <c r="AE15" s="62"/>
      <c r="AF15" s="143"/>
      <c r="AG15" s="13">
        <f t="shared" si="29"/>
        <v>24</v>
      </c>
      <c r="AH15" s="61">
        <v>90</v>
      </c>
      <c r="AI15" s="143">
        <f>20+9+8+9+7</f>
        <v>53</v>
      </c>
      <c r="AJ15" s="13">
        <f t="shared" si="30"/>
        <v>61</v>
      </c>
      <c r="AK15" s="62">
        <v>45</v>
      </c>
      <c r="AL15" s="143">
        <f>4+9+10+20+9+4+13+6</f>
        <v>75</v>
      </c>
      <c r="AM15" s="13">
        <f t="shared" si="6"/>
        <v>31</v>
      </c>
      <c r="AN15" s="62"/>
      <c r="AO15" s="143"/>
      <c r="AP15" s="13">
        <f t="shared" si="7"/>
        <v>31</v>
      </c>
      <c r="AQ15" s="62">
        <v>45</v>
      </c>
      <c r="AR15" s="143">
        <f>2+2+1</f>
        <v>5</v>
      </c>
      <c r="AS15" s="13">
        <f t="shared" si="8"/>
        <v>71</v>
      </c>
      <c r="AT15" s="62"/>
      <c r="AU15" s="143">
        <f>14+3+1</f>
        <v>18</v>
      </c>
      <c r="AV15" s="13">
        <f t="shared" si="9"/>
        <v>53</v>
      </c>
      <c r="AW15" s="62">
        <v>45</v>
      </c>
      <c r="AX15" s="143">
        <f>15+2+9+10+4+7+5</f>
        <v>52</v>
      </c>
      <c r="AY15" s="13">
        <f t="shared" si="10"/>
        <v>46</v>
      </c>
      <c r="AZ15" s="62"/>
      <c r="BA15" s="143"/>
      <c r="BB15" s="13">
        <f t="shared" si="11"/>
        <v>46</v>
      </c>
      <c r="BC15" s="62">
        <v>45</v>
      </c>
      <c r="BD15" s="143">
        <f>20+10+2+6+9+11</f>
        <v>58</v>
      </c>
      <c r="BE15" s="13">
        <f t="shared" si="12"/>
        <v>33</v>
      </c>
      <c r="BF15" s="62">
        <f>90+40</f>
        <v>130</v>
      </c>
      <c r="BG15" s="143">
        <f>2+11+12+7+9+3+8</f>
        <v>52</v>
      </c>
      <c r="BH15" s="13">
        <f t="shared" si="13"/>
        <v>111</v>
      </c>
      <c r="BI15" s="62"/>
      <c r="BJ15" s="143"/>
      <c r="BK15" s="13">
        <f t="shared" si="14"/>
        <v>111</v>
      </c>
      <c r="BL15" s="62"/>
      <c r="BM15" s="143"/>
      <c r="BN15" s="13">
        <f t="shared" si="15"/>
        <v>111</v>
      </c>
      <c r="BO15" s="62"/>
      <c r="BP15" s="143">
        <v>35</v>
      </c>
      <c r="BQ15" s="13">
        <f t="shared" si="16"/>
        <v>76</v>
      </c>
      <c r="BR15" s="62">
        <v>45</v>
      </c>
      <c r="BS15" s="143">
        <f>4+5+13+4+9</f>
        <v>35</v>
      </c>
      <c r="BT15" s="13">
        <f t="shared" si="17"/>
        <v>86</v>
      </c>
      <c r="BU15" s="62"/>
      <c r="BV15" s="143"/>
      <c r="BW15" s="13">
        <f t="shared" si="18"/>
        <v>86</v>
      </c>
      <c r="BX15" s="175">
        <v>45</v>
      </c>
      <c r="BY15" s="143">
        <f>20+9+10</f>
        <v>39</v>
      </c>
      <c r="BZ15" s="13">
        <f t="shared" si="19"/>
        <v>92</v>
      </c>
      <c r="CA15" s="62">
        <f>45+10</f>
        <v>55</v>
      </c>
      <c r="CB15" s="143">
        <f>2+7+10+8+10+8+9+20+4</f>
        <v>78</v>
      </c>
      <c r="CC15" s="13">
        <f t="shared" si="20"/>
        <v>69</v>
      </c>
      <c r="CD15" s="62"/>
      <c r="CE15" s="143"/>
      <c r="CF15" s="13">
        <f t="shared" si="21"/>
        <v>69</v>
      </c>
      <c r="CG15" s="62"/>
      <c r="CH15" s="143">
        <f>3+1+2</f>
        <v>6</v>
      </c>
      <c r="CI15" s="13">
        <f t="shared" si="31"/>
        <v>63</v>
      </c>
      <c r="CJ15" s="62">
        <f>45+19</f>
        <v>64</v>
      </c>
      <c r="CK15" s="143">
        <f>20+13+8+11</f>
        <v>52</v>
      </c>
      <c r="CL15" s="13">
        <f t="shared" si="32"/>
        <v>75</v>
      </c>
      <c r="CM15" s="62"/>
      <c r="CN15" s="143">
        <f>2+8+3+7+8+7</f>
        <v>35</v>
      </c>
      <c r="CO15" s="13">
        <f t="shared" si="22"/>
        <v>40</v>
      </c>
      <c r="CP15" s="62"/>
      <c r="CQ15" s="143"/>
      <c r="CR15" s="13">
        <f t="shared" si="33"/>
        <v>40</v>
      </c>
      <c r="CS15" s="61"/>
      <c r="CT15" s="143">
        <v>2</v>
      </c>
      <c r="CU15" s="14">
        <f t="shared" si="23"/>
        <v>38</v>
      </c>
      <c r="CV15" s="5">
        <f t="shared" si="24"/>
        <v>848</v>
      </c>
      <c r="CW15" s="4">
        <f t="shared" si="24"/>
        <v>828</v>
      </c>
      <c r="CX15" s="6">
        <f t="shared" si="25"/>
        <v>38</v>
      </c>
      <c r="CY15" s="162">
        <v>56</v>
      </c>
      <c r="CZ15" s="171">
        <f t="shared" si="26"/>
        <v>2128</v>
      </c>
      <c r="DB15" s="2">
        <f t="shared" si="34"/>
        <v>38</v>
      </c>
      <c r="DC15" s="61"/>
      <c r="DD15" s="143"/>
      <c r="DE15" s="149">
        <f t="shared" si="35"/>
        <v>38</v>
      </c>
    </row>
    <row r="16" spans="1:109" ht="15.75" customHeight="1">
      <c r="A16" s="33" t="s">
        <v>44</v>
      </c>
      <c r="B16" s="3" t="s">
        <v>45</v>
      </c>
      <c r="C16" s="104" t="s">
        <v>32</v>
      </c>
      <c r="D16" s="34">
        <v>4</v>
      </c>
      <c r="E16" s="34" t="s">
        <v>41</v>
      </c>
      <c r="F16" s="14">
        <v>10</v>
      </c>
      <c r="G16" s="176">
        <v>22</v>
      </c>
      <c r="H16" s="143">
        <f>8+12+4+4</f>
        <v>28</v>
      </c>
      <c r="I16" s="13">
        <f t="shared" si="0"/>
        <v>4</v>
      </c>
      <c r="J16" s="176"/>
      <c r="K16" s="143"/>
      <c r="L16" s="13">
        <f t="shared" si="1"/>
        <v>4</v>
      </c>
      <c r="M16" s="176">
        <f>-4+6+6</f>
        <v>8</v>
      </c>
      <c r="N16" s="143">
        <f>2+2</f>
        <v>4</v>
      </c>
      <c r="O16" s="13">
        <f t="shared" si="2"/>
        <v>8</v>
      </c>
      <c r="P16" s="176">
        <v>22</v>
      </c>
      <c r="Q16" s="143">
        <f>5+5+6+10</f>
        <v>26</v>
      </c>
      <c r="R16" s="30">
        <f t="shared" si="3"/>
        <v>4</v>
      </c>
      <c r="S16" s="176"/>
      <c r="T16" s="143"/>
      <c r="U16" s="13">
        <f t="shared" si="4"/>
        <v>4</v>
      </c>
      <c r="V16" s="176">
        <v>20</v>
      </c>
      <c r="W16" s="143">
        <f>2+1+1+11+2+1</f>
        <v>18</v>
      </c>
      <c r="X16" s="13">
        <f t="shared" si="5"/>
        <v>6</v>
      </c>
      <c r="Y16" s="176">
        <v>44</v>
      </c>
      <c r="Z16" s="143">
        <f>2+6+13</f>
        <v>21</v>
      </c>
      <c r="AA16" s="13">
        <f t="shared" si="27"/>
        <v>29</v>
      </c>
      <c r="AB16" s="176">
        <v>6</v>
      </c>
      <c r="AC16" s="143">
        <f>6+5+2+4+4+3+5</f>
        <v>29</v>
      </c>
      <c r="AD16" s="13">
        <f t="shared" si="28"/>
        <v>6</v>
      </c>
      <c r="AE16" s="176"/>
      <c r="AF16" s="143"/>
      <c r="AG16" s="13">
        <f t="shared" si="29"/>
        <v>6</v>
      </c>
      <c r="AH16" s="63">
        <v>13</v>
      </c>
      <c r="AI16" s="143">
        <f>2+3+4</f>
        <v>9</v>
      </c>
      <c r="AJ16" s="13">
        <f t="shared" si="30"/>
        <v>10</v>
      </c>
      <c r="AK16" s="176">
        <v>35</v>
      </c>
      <c r="AL16" s="143">
        <f>4+5+4+2+22+3</f>
        <v>40</v>
      </c>
      <c r="AM16" s="13">
        <f t="shared" si="6"/>
        <v>5</v>
      </c>
      <c r="AN16" s="176"/>
      <c r="AO16" s="143"/>
      <c r="AP16" s="13">
        <f t="shared" si="7"/>
        <v>5</v>
      </c>
      <c r="AQ16" s="176">
        <v>8</v>
      </c>
      <c r="AR16" s="143">
        <f>2+2+1+1+1</f>
        <v>7</v>
      </c>
      <c r="AS16" s="13">
        <f t="shared" si="8"/>
        <v>6</v>
      </c>
      <c r="AT16" s="176">
        <v>12</v>
      </c>
      <c r="AU16" s="143">
        <f>2+4+4</f>
        <v>10</v>
      </c>
      <c r="AV16" s="13">
        <f t="shared" si="9"/>
        <v>8</v>
      </c>
      <c r="AW16" s="176">
        <v>21</v>
      </c>
      <c r="AX16" s="143">
        <f>6+12+5</f>
        <v>23</v>
      </c>
      <c r="AY16" s="13">
        <f t="shared" si="10"/>
        <v>6</v>
      </c>
      <c r="AZ16" s="176"/>
      <c r="BA16" s="143"/>
      <c r="BB16" s="13">
        <f t="shared" si="11"/>
        <v>6</v>
      </c>
      <c r="BC16" s="176">
        <v>25</v>
      </c>
      <c r="BD16" s="143">
        <f>2+4+7+9</f>
        <v>22</v>
      </c>
      <c r="BE16" s="13">
        <f t="shared" si="12"/>
        <v>9</v>
      </c>
      <c r="BF16" s="176">
        <f>13+23</f>
        <v>36</v>
      </c>
      <c r="BG16" s="143">
        <f>2+7+11+2+10</f>
        <v>32</v>
      </c>
      <c r="BH16" s="13">
        <f t="shared" si="13"/>
        <v>13</v>
      </c>
      <c r="BI16" s="176"/>
      <c r="BJ16" s="143"/>
      <c r="BK16" s="13">
        <f t="shared" si="14"/>
        <v>13</v>
      </c>
      <c r="BL16" s="176"/>
      <c r="BM16" s="143">
        <f>6+2</f>
        <v>8</v>
      </c>
      <c r="BN16" s="13">
        <f t="shared" si="15"/>
        <v>5</v>
      </c>
      <c r="BO16" s="176">
        <v>10</v>
      </c>
      <c r="BP16" s="143">
        <f>2+5</f>
        <v>7</v>
      </c>
      <c r="BQ16" s="13">
        <f t="shared" si="16"/>
        <v>8</v>
      </c>
      <c r="BR16" s="176">
        <v>16</v>
      </c>
      <c r="BS16" s="143">
        <f>6+5+7</f>
        <v>18</v>
      </c>
      <c r="BT16" s="13">
        <f t="shared" si="17"/>
        <v>6</v>
      </c>
      <c r="BU16" s="176"/>
      <c r="BV16" s="143"/>
      <c r="BW16" s="13">
        <f t="shared" si="18"/>
        <v>6</v>
      </c>
      <c r="BX16" s="194">
        <v>11</v>
      </c>
      <c r="BY16" s="143">
        <f>2+4+5</f>
        <v>11</v>
      </c>
      <c r="BZ16" s="13">
        <f t="shared" si="19"/>
        <v>6</v>
      </c>
      <c r="CA16" s="176">
        <v>30</v>
      </c>
      <c r="CB16" s="195">
        <f>4+9+7+5+6</f>
        <v>31</v>
      </c>
      <c r="CC16" s="13">
        <f t="shared" si="20"/>
        <v>5</v>
      </c>
      <c r="CD16" s="176"/>
      <c r="CE16" s="143"/>
      <c r="CF16" s="13">
        <f t="shared" si="21"/>
        <v>5</v>
      </c>
      <c r="CG16" s="176">
        <v>9</v>
      </c>
      <c r="CH16" s="143">
        <f>2+2+1+2+1</f>
        <v>8</v>
      </c>
      <c r="CI16" s="13">
        <f t="shared" si="31"/>
        <v>6</v>
      </c>
      <c r="CJ16" s="176">
        <v>4</v>
      </c>
      <c r="CK16" s="143">
        <v>2</v>
      </c>
      <c r="CL16" s="13">
        <f t="shared" si="32"/>
        <v>8</v>
      </c>
      <c r="CM16" s="176"/>
      <c r="CN16" s="143">
        <f>4</f>
        <v>4</v>
      </c>
      <c r="CO16" s="13">
        <f t="shared" si="22"/>
        <v>4</v>
      </c>
      <c r="CP16" s="176"/>
      <c r="CQ16" s="143"/>
      <c r="CR16" s="13">
        <f t="shared" si="33"/>
        <v>4</v>
      </c>
      <c r="CS16" s="63">
        <v>37</v>
      </c>
      <c r="CT16" s="143"/>
      <c r="CU16" s="14">
        <f t="shared" si="23"/>
        <v>41</v>
      </c>
      <c r="CV16" s="5">
        <f t="shared" si="24"/>
        <v>389</v>
      </c>
      <c r="CW16" s="4">
        <f t="shared" si="24"/>
        <v>358</v>
      </c>
      <c r="CX16" s="6">
        <f t="shared" si="25"/>
        <v>41</v>
      </c>
      <c r="CY16" s="162">
        <v>90</v>
      </c>
      <c r="CZ16" s="171">
        <f t="shared" si="26"/>
        <v>3690</v>
      </c>
      <c r="DB16" s="2">
        <f t="shared" si="34"/>
        <v>41</v>
      </c>
      <c r="DC16" s="63"/>
      <c r="DD16" s="143">
        <f>4+15+8+3+5+2</f>
        <v>37</v>
      </c>
      <c r="DE16" s="149">
        <f t="shared" si="35"/>
        <v>4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13</v>
      </c>
      <c r="G17" s="62">
        <f>-54+15+40+28+1</f>
        <v>30</v>
      </c>
      <c r="H17" s="143">
        <f>5+8</f>
        <v>13</v>
      </c>
      <c r="I17" s="13">
        <f t="shared" si="0"/>
        <v>30</v>
      </c>
      <c r="J17" s="62"/>
      <c r="K17" s="143"/>
      <c r="L17" s="13">
        <f t="shared" si="1"/>
        <v>30</v>
      </c>
      <c r="M17" s="62">
        <f>15+10</f>
        <v>25</v>
      </c>
      <c r="N17" s="143">
        <f>6+13</f>
        <v>19</v>
      </c>
      <c r="O17" s="13">
        <f t="shared" si="2"/>
        <v>36</v>
      </c>
      <c r="P17" s="62">
        <f>-1+15+20</f>
        <v>34</v>
      </c>
      <c r="Q17" s="143">
        <f>3+33</f>
        <v>36</v>
      </c>
      <c r="R17" s="30">
        <f t="shared" si="3"/>
        <v>34</v>
      </c>
      <c r="S17" s="62"/>
      <c r="T17" s="143"/>
      <c r="U17" s="13">
        <f t="shared" si="4"/>
        <v>34</v>
      </c>
      <c r="V17" s="62">
        <v>15</v>
      </c>
      <c r="W17" s="143">
        <f>3+6</f>
        <v>9</v>
      </c>
      <c r="X17" s="13">
        <f t="shared" si="5"/>
        <v>40</v>
      </c>
      <c r="Y17" s="62">
        <f>15+20</f>
        <v>35</v>
      </c>
      <c r="Z17" s="143">
        <f>3+19</f>
        <v>22</v>
      </c>
      <c r="AA17" s="13">
        <f t="shared" si="27"/>
        <v>53</v>
      </c>
      <c r="AB17" s="62">
        <f>-3+15+20</f>
        <v>32</v>
      </c>
      <c r="AC17" s="143">
        <f>10+43</f>
        <v>53</v>
      </c>
      <c r="AD17" s="13">
        <f t="shared" si="28"/>
        <v>32</v>
      </c>
      <c r="AE17" s="62"/>
      <c r="AF17" s="143"/>
      <c r="AG17" s="13">
        <f t="shared" si="29"/>
        <v>32</v>
      </c>
      <c r="AH17" s="61">
        <f>15+20</f>
        <v>35</v>
      </c>
      <c r="AI17" s="143">
        <v>23</v>
      </c>
      <c r="AJ17" s="13">
        <f t="shared" si="30"/>
        <v>44</v>
      </c>
      <c r="AK17" s="62">
        <f>15+10</f>
        <v>25</v>
      </c>
      <c r="AL17" s="143">
        <f>3+30</f>
        <v>33</v>
      </c>
      <c r="AM17" s="13">
        <f t="shared" si="6"/>
        <v>36</v>
      </c>
      <c r="AN17" s="62"/>
      <c r="AO17" s="143"/>
      <c r="AP17" s="13">
        <f t="shared" si="7"/>
        <v>36</v>
      </c>
      <c r="AQ17" s="62">
        <v>15</v>
      </c>
      <c r="AR17" s="143">
        <f>3+21</f>
        <v>24</v>
      </c>
      <c r="AS17" s="13">
        <f t="shared" si="8"/>
        <v>27</v>
      </c>
      <c r="AT17" s="62">
        <f>15+20</f>
        <v>35</v>
      </c>
      <c r="AU17" s="143">
        <f>2+12</f>
        <v>14</v>
      </c>
      <c r="AV17" s="13">
        <f t="shared" si="9"/>
        <v>48</v>
      </c>
      <c r="AW17" s="62">
        <f>-6+15+20</f>
        <v>29</v>
      </c>
      <c r="AX17" s="143">
        <f>2+46</f>
        <v>48</v>
      </c>
      <c r="AY17" s="13">
        <f t="shared" si="10"/>
        <v>29</v>
      </c>
      <c r="AZ17" s="62"/>
      <c r="BA17" s="143"/>
      <c r="BB17" s="13">
        <f t="shared" si="11"/>
        <v>29</v>
      </c>
      <c r="BC17" s="62">
        <f>-3+15+40</f>
        <v>52</v>
      </c>
      <c r="BD17" s="143">
        <f>4+25</f>
        <v>29</v>
      </c>
      <c r="BE17" s="13">
        <f t="shared" si="12"/>
        <v>52</v>
      </c>
      <c r="BF17" s="62">
        <f>15+40</f>
        <v>55</v>
      </c>
      <c r="BG17" s="143">
        <f>8+41</f>
        <v>49</v>
      </c>
      <c r="BH17" s="13">
        <f t="shared" si="13"/>
        <v>58</v>
      </c>
      <c r="BI17" s="62"/>
      <c r="BJ17" s="143"/>
      <c r="BK17" s="13">
        <f t="shared" si="14"/>
        <v>58</v>
      </c>
      <c r="BL17" s="62"/>
      <c r="BM17" s="143">
        <f>18+9</f>
        <v>27</v>
      </c>
      <c r="BN17" s="13">
        <f t="shared" si="15"/>
        <v>31</v>
      </c>
      <c r="BO17" s="62">
        <f>-10+15+40</f>
        <v>45</v>
      </c>
      <c r="BP17" s="143">
        <f>3+28</f>
        <v>31</v>
      </c>
      <c r="BQ17" s="13">
        <f t="shared" si="16"/>
        <v>45</v>
      </c>
      <c r="BR17" s="62">
        <f>-12+15+30</f>
        <v>33</v>
      </c>
      <c r="BS17" s="143">
        <f>5+40+3</f>
        <v>48</v>
      </c>
      <c r="BT17" s="13">
        <f t="shared" si="17"/>
        <v>30</v>
      </c>
      <c r="BU17" s="62"/>
      <c r="BV17" s="143"/>
      <c r="BW17" s="13">
        <f t="shared" si="18"/>
        <v>30</v>
      </c>
      <c r="BX17" s="175">
        <f>15+20</f>
        <v>35</v>
      </c>
      <c r="BY17" s="143">
        <v>21</v>
      </c>
      <c r="BZ17" s="13">
        <f t="shared" si="19"/>
        <v>44</v>
      </c>
      <c r="CA17" s="62">
        <f>15+20</f>
        <v>35</v>
      </c>
      <c r="CB17" s="143">
        <f>2+36</f>
        <v>38</v>
      </c>
      <c r="CC17" s="13">
        <f t="shared" si="20"/>
        <v>41</v>
      </c>
      <c r="CD17" s="62"/>
      <c r="CE17" s="143"/>
      <c r="CF17" s="13">
        <f t="shared" si="21"/>
        <v>41</v>
      </c>
      <c r="CG17" s="62">
        <f>15+20</f>
        <v>35</v>
      </c>
      <c r="CH17" s="143">
        <f>2+35</f>
        <v>37</v>
      </c>
      <c r="CI17" s="13">
        <f t="shared" si="31"/>
        <v>39</v>
      </c>
      <c r="CJ17" s="62">
        <f>15+10</f>
        <v>25</v>
      </c>
      <c r="CK17" s="143">
        <f>2+13</f>
        <v>15</v>
      </c>
      <c r="CL17" s="13">
        <f t="shared" si="32"/>
        <v>49</v>
      </c>
      <c r="CM17" s="62">
        <f>-14+15+20</f>
        <v>21</v>
      </c>
      <c r="CN17" s="143">
        <f>3+46</f>
        <v>49</v>
      </c>
      <c r="CO17" s="13">
        <f t="shared" si="22"/>
        <v>21</v>
      </c>
      <c r="CP17" s="62"/>
      <c r="CQ17" s="143"/>
      <c r="CR17" s="13">
        <f t="shared" si="33"/>
        <v>21</v>
      </c>
      <c r="CS17" s="61">
        <v>15</v>
      </c>
      <c r="CT17" s="143">
        <f>4+13</f>
        <v>17</v>
      </c>
      <c r="CU17" s="14">
        <f t="shared" si="23"/>
        <v>19</v>
      </c>
      <c r="CV17" s="5">
        <f t="shared" si="24"/>
        <v>661</v>
      </c>
      <c r="CW17" s="4">
        <f t="shared" si="24"/>
        <v>655</v>
      </c>
      <c r="CX17" s="6">
        <f t="shared" si="25"/>
        <v>19</v>
      </c>
      <c r="CY17" s="162">
        <v>200</v>
      </c>
      <c r="CZ17" s="171">
        <f t="shared" si="26"/>
        <v>3800</v>
      </c>
      <c r="DB17" s="2">
        <f t="shared" si="34"/>
        <v>19</v>
      </c>
      <c r="DC17" s="61"/>
      <c r="DD17" s="143"/>
      <c r="DE17" s="149">
        <f t="shared" si="35"/>
        <v>19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2.6999999999999931</v>
      </c>
      <c r="G18" s="62"/>
      <c r="H18" s="143">
        <f>2.2</f>
        <v>2.2000000000000002</v>
      </c>
      <c r="I18" s="13">
        <f t="shared" si="0"/>
        <v>0.49999999999999289</v>
      </c>
      <c r="J18" s="62"/>
      <c r="K18" s="143"/>
      <c r="L18" s="13">
        <f t="shared" si="1"/>
        <v>0.49999999999999289</v>
      </c>
      <c r="M18" s="62">
        <v>4</v>
      </c>
      <c r="N18" s="143">
        <f>1.5</f>
        <v>1.5</v>
      </c>
      <c r="O18" s="13">
        <f t="shared" si="2"/>
        <v>2.9999999999999929</v>
      </c>
      <c r="P18" s="62">
        <v>4</v>
      </c>
      <c r="Q18" s="143">
        <f>1.2</f>
        <v>1.2</v>
      </c>
      <c r="R18" s="30">
        <f t="shared" si="3"/>
        <v>5.7999999999999927</v>
      </c>
      <c r="S18" s="62"/>
      <c r="T18" s="143"/>
      <c r="U18" s="13">
        <f t="shared" si="4"/>
        <v>5.7999999999999927</v>
      </c>
      <c r="V18" s="62">
        <v>2</v>
      </c>
      <c r="W18" s="143">
        <f>0.6</f>
        <v>0.6</v>
      </c>
      <c r="X18" s="13">
        <f t="shared" si="5"/>
        <v>7.1999999999999931</v>
      </c>
      <c r="Y18" s="62">
        <v>4</v>
      </c>
      <c r="Z18" s="143">
        <f>1.6</f>
        <v>1.6</v>
      </c>
      <c r="AA18" s="13">
        <f t="shared" si="27"/>
        <v>9.5999999999999925</v>
      </c>
      <c r="AB18" s="62"/>
      <c r="AC18" s="143">
        <f>4.2</f>
        <v>4.2</v>
      </c>
      <c r="AD18" s="13">
        <f t="shared" si="28"/>
        <v>5.3999999999999924</v>
      </c>
      <c r="AE18" s="62"/>
      <c r="AF18" s="143"/>
      <c r="AG18" s="13">
        <f t="shared" si="29"/>
        <v>5.3999999999999924</v>
      </c>
      <c r="AH18" s="61"/>
      <c r="AI18" s="143"/>
      <c r="AJ18" s="13">
        <f t="shared" si="30"/>
        <v>5.3999999999999924</v>
      </c>
      <c r="AK18" s="62"/>
      <c r="AL18" s="143">
        <f>3.8</f>
        <v>3.8</v>
      </c>
      <c r="AM18" s="13">
        <f t="shared" si="6"/>
        <v>1.5999999999999925</v>
      </c>
      <c r="AN18" s="62"/>
      <c r="AO18" s="143"/>
      <c r="AP18" s="13">
        <f t="shared" si="7"/>
        <v>1.5999999999999925</v>
      </c>
      <c r="AQ18" s="62">
        <v>4</v>
      </c>
      <c r="AR18" s="143">
        <f>1</f>
        <v>1</v>
      </c>
      <c r="AS18" s="13">
        <f t="shared" si="8"/>
        <v>4.5999999999999925</v>
      </c>
      <c r="AT18" s="62">
        <v>4</v>
      </c>
      <c r="AU18" s="143">
        <f>5.4</f>
        <v>5.4</v>
      </c>
      <c r="AV18" s="13">
        <f t="shared" si="9"/>
        <v>3.1999999999999922</v>
      </c>
      <c r="AW18" s="62">
        <v>1.3</v>
      </c>
      <c r="AX18" s="143"/>
      <c r="AY18" s="13">
        <f t="shared" si="10"/>
        <v>4.499999999999992</v>
      </c>
      <c r="AZ18" s="62"/>
      <c r="BA18" s="143"/>
      <c r="BB18" s="13">
        <f t="shared" si="11"/>
        <v>4.499999999999992</v>
      </c>
      <c r="BC18" s="62">
        <v>4</v>
      </c>
      <c r="BD18" s="143">
        <v>4.7</v>
      </c>
      <c r="BE18" s="13">
        <f t="shared" si="12"/>
        <v>3.7999999999999927</v>
      </c>
      <c r="BF18" s="62"/>
      <c r="BG18" s="143">
        <f>0.7+1.2</f>
        <v>1.9</v>
      </c>
      <c r="BH18" s="13">
        <f t="shared" si="13"/>
        <v>1.8999999999999928</v>
      </c>
      <c r="BI18" s="62"/>
      <c r="BJ18" s="143"/>
      <c r="BK18" s="13">
        <f t="shared" si="14"/>
        <v>1.8999999999999928</v>
      </c>
      <c r="BL18" s="62"/>
      <c r="BM18" s="143"/>
      <c r="BN18" s="13">
        <f t="shared" si="15"/>
        <v>1.8999999999999928</v>
      </c>
      <c r="BO18" s="62"/>
      <c r="BP18" s="143"/>
      <c r="BQ18" s="13">
        <f t="shared" si="16"/>
        <v>1.8999999999999928</v>
      </c>
      <c r="BR18" s="62">
        <v>4</v>
      </c>
      <c r="BS18" s="143">
        <f>1.3</f>
        <v>1.3</v>
      </c>
      <c r="BT18" s="13">
        <f t="shared" si="17"/>
        <v>4.5999999999999934</v>
      </c>
      <c r="BU18" s="62"/>
      <c r="BV18" s="143"/>
      <c r="BW18" s="13">
        <f t="shared" si="18"/>
        <v>4.5999999999999934</v>
      </c>
      <c r="BX18" s="175">
        <v>4</v>
      </c>
      <c r="BY18" s="143">
        <f>5.5</f>
        <v>5.5</v>
      </c>
      <c r="BZ18" s="13">
        <f t="shared" si="19"/>
        <v>3.0999999999999943</v>
      </c>
      <c r="CA18" s="62"/>
      <c r="CB18" s="143">
        <f>1.2</f>
        <v>1.2</v>
      </c>
      <c r="CC18" s="13">
        <f t="shared" si="20"/>
        <v>1.8999999999999944</v>
      </c>
      <c r="CD18" s="62"/>
      <c r="CE18" s="143"/>
      <c r="CF18" s="13">
        <f t="shared" si="21"/>
        <v>1.8999999999999944</v>
      </c>
      <c r="CG18" s="62">
        <v>1.8</v>
      </c>
      <c r="CH18" s="143">
        <f>0.7</f>
        <v>0.7</v>
      </c>
      <c r="CI18" s="13">
        <f t="shared" si="31"/>
        <v>2.9999999999999947</v>
      </c>
      <c r="CJ18" s="62">
        <f>8+2.3</f>
        <v>10.3</v>
      </c>
      <c r="CK18" s="143">
        <f>2.2+6.1</f>
        <v>8.3000000000000007</v>
      </c>
      <c r="CL18" s="13">
        <f t="shared" si="32"/>
        <v>4.9999999999999947</v>
      </c>
      <c r="CM18" s="62"/>
      <c r="CN18" s="143"/>
      <c r="CO18" s="13">
        <f t="shared" si="22"/>
        <v>4.9999999999999947</v>
      </c>
      <c r="CP18" s="62"/>
      <c r="CQ18" s="143"/>
      <c r="CR18" s="13">
        <f t="shared" si="33"/>
        <v>4.9999999999999947</v>
      </c>
      <c r="CS18" s="61"/>
      <c r="CT18" s="143"/>
      <c r="CU18" s="14">
        <f t="shared" si="23"/>
        <v>4.9999999999999947</v>
      </c>
      <c r="CV18" s="5">
        <f t="shared" si="24"/>
        <v>47.399999999999991</v>
      </c>
      <c r="CW18" s="4">
        <f t="shared" si="24"/>
        <v>45.100000000000009</v>
      </c>
      <c r="CX18" s="6">
        <f t="shared" si="25"/>
        <v>4.9999999999999947</v>
      </c>
      <c r="CY18" s="162">
        <v>450</v>
      </c>
      <c r="CZ18" s="171">
        <f t="shared" si="26"/>
        <v>2249.9999999999977</v>
      </c>
      <c r="DB18" s="2">
        <f t="shared" si="34"/>
        <v>4.9999999999999947</v>
      </c>
      <c r="DC18" s="61"/>
      <c r="DD18" s="143"/>
      <c r="DE18" s="149">
        <f t="shared" si="35"/>
        <v>4.9999999999999947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4.2999999999999954</v>
      </c>
      <c r="G19" s="62">
        <v>4</v>
      </c>
      <c r="H19" s="143">
        <f>1.7</f>
        <v>1.7</v>
      </c>
      <c r="I19" s="13">
        <f t="shared" si="0"/>
        <v>6.5999999999999952</v>
      </c>
      <c r="J19" s="62"/>
      <c r="K19" s="143"/>
      <c r="L19" s="13">
        <f t="shared" si="1"/>
        <v>6.5999999999999952</v>
      </c>
      <c r="M19" s="62">
        <v>4</v>
      </c>
      <c r="N19" s="143">
        <v>3</v>
      </c>
      <c r="O19" s="13">
        <f t="shared" si="2"/>
        <v>7.5999999999999943</v>
      </c>
      <c r="P19" s="62"/>
      <c r="Q19" s="143">
        <f>2.8</f>
        <v>2.8</v>
      </c>
      <c r="R19" s="30">
        <f t="shared" si="3"/>
        <v>4.7999999999999945</v>
      </c>
      <c r="S19" s="62"/>
      <c r="T19" s="143"/>
      <c r="U19" s="13">
        <f t="shared" si="4"/>
        <v>4.7999999999999945</v>
      </c>
      <c r="V19" s="62"/>
      <c r="W19" s="143">
        <v>2</v>
      </c>
      <c r="X19" s="30">
        <f t="shared" si="5"/>
        <v>2.7999999999999945</v>
      </c>
      <c r="Y19" s="62">
        <v>4</v>
      </c>
      <c r="Z19" s="143">
        <v>4</v>
      </c>
      <c r="AA19" s="13">
        <f t="shared" si="27"/>
        <v>2.7999999999999945</v>
      </c>
      <c r="AB19" s="62"/>
      <c r="AC19" s="143">
        <v>2</v>
      </c>
      <c r="AD19" s="13">
        <f t="shared" si="28"/>
        <v>0.79999999999999449</v>
      </c>
      <c r="AE19" s="62"/>
      <c r="AF19" s="143"/>
      <c r="AG19" s="13">
        <f t="shared" si="29"/>
        <v>0.79999999999999449</v>
      </c>
      <c r="AH19" s="61"/>
      <c r="AI19" s="143"/>
      <c r="AJ19" s="13">
        <f t="shared" si="30"/>
        <v>0.79999999999999449</v>
      </c>
      <c r="AK19" s="62">
        <v>4</v>
      </c>
      <c r="AL19" s="143">
        <v>1.2</v>
      </c>
      <c r="AM19" s="13">
        <f t="shared" si="6"/>
        <v>3.5999999999999943</v>
      </c>
      <c r="AN19" s="62"/>
      <c r="AO19" s="143"/>
      <c r="AP19" s="13">
        <f t="shared" si="7"/>
        <v>3.5999999999999943</v>
      </c>
      <c r="AQ19" s="62"/>
      <c r="AR19" s="143"/>
      <c r="AS19" s="13">
        <f t="shared" si="8"/>
        <v>3.5999999999999943</v>
      </c>
      <c r="AT19" s="62"/>
      <c r="AU19" s="143"/>
      <c r="AV19" s="13">
        <f t="shared" si="9"/>
        <v>3.5999999999999943</v>
      </c>
      <c r="AW19" s="62"/>
      <c r="AX19" s="143"/>
      <c r="AY19" s="13">
        <f t="shared" si="10"/>
        <v>3.5999999999999943</v>
      </c>
      <c r="AZ19" s="62"/>
      <c r="BA19" s="143"/>
      <c r="BB19" s="13">
        <f t="shared" si="11"/>
        <v>3.5999999999999943</v>
      </c>
      <c r="BC19" s="62"/>
      <c r="BD19" s="143"/>
      <c r="BE19" s="13">
        <f t="shared" si="12"/>
        <v>3.5999999999999943</v>
      </c>
      <c r="BF19" s="62"/>
      <c r="BG19" s="143"/>
      <c r="BH19" s="13">
        <f t="shared" si="13"/>
        <v>3.5999999999999943</v>
      </c>
      <c r="BI19" s="62"/>
      <c r="BJ19" s="143"/>
      <c r="BK19" s="13">
        <f t="shared" si="14"/>
        <v>3.5999999999999943</v>
      </c>
      <c r="BL19" s="62"/>
      <c r="BM19" s="143"/>
      <c r="BN19" s="13">
        <f t="shared" si="15"/>
        <v>3.5999999999999943</v>
      </c>
      <c r="BO19" s="62"/>
      <c r="BP19" s="143"/>
      <c r="BQ19" s="13">
        <f t="shared" si="16"/>
        <v>3.5999999999999943</v>
      </c>
      <c r="BR19" s="62">
        <v>8</v>
      </c>
      <c r="BS19" s="143">
        <f>3.6+4</f>
        <v>7.6</v>
      </c>
      <c r="BT19" s="13">
        <f t="shared" si="17"/>
        <v>3.9999999999999947</v>
      </c>
      <c r="BU19" s="62"/>
      <c r="BV19" s="143"/>
      <c r="BW19" s="13">
        <f t="shared" si="18"/>
        <v>3.9999999999999947</v>
      </c>
      <c r="BX19" s="175"/>
      <c r="BY19" s="143"/>
      <c r="BZ19" s="13">
        <f t="shared" si="19"/>
        <v>3.9999999999999947</v>
      </c>
      <c r="CA19" s="62"/>
      <c r="CB19" s="143"/>
      <c r="CC19" s="13">
        <f t="shared" si="20"/>
        <v>3.9999999999999947</v>
      </c>
      <c r="CD19" s="62"/>
      <c r="CE19" s="143"/>
      <c r="CF19" s="13">
        <f t="shared" si="21"/>
        <v>3.9999999999999947</v>
      </c>
      <c r="CG19" s="62"/>
      <c r="CH19" s="143"/>
      <c r="CI19" s="13">
        <f t="shared" si="31"/>
        <v>3.9999999999999947</v>
      </c>
      <c r="CJ19" s="62">
        <v>1</v>
      </c>
      <c r="CK19" s="143"/>
      <c r="CL19" s="13">
        <f t="shared" si="32"/>
        <v>4.9999999999999947</v>
      </c>
      <c r="CM19" s="62"/>
      <c r="CN19" s="143"/>
      <c r="CO19" s="13">
        <f t="shared" si="22"/>
        <v>4.9999999999999947</v>
      </c>
      <c r="CP19" s="62"/>
      <c r="CQ19" s="143"/>
      <c r="CR19" s="13">
        <f t="shared" si="33"/>
        <v>4.9999999999999947</v>
      </c>
      <c r="CS19" s="61">
        <v>4</v>
      </c>
      <c r="CT19" s="143"/>
      <c r="CU19" s="14">
        <f t="shared" si="23"/>
        <v>8.9999999999999947</v>
      </c>
      <c r="CV19" s="5">
        <f t="shared" si="24"/>
        <v>29</v>
      </c>
      <c r="CW19" s="4">
        <f t="shared" si="24"/>
        <v>24.299999999999997</v>
      </c>
      <c r="CX19" s="6">
        <f t="shared" si="25"/>
        <v>8.9999999999999947</v>
      </c>
      <c r="CY19" s="162">
        <v>500</v>
      </c>
      <c r="CZ19" s="171">
        <f t="shared" si="26"/>
        <v>4499.9999999999973</v>
      </c>
      <c r="DB19" s="2">
        <f t="shared" si="34"/>
        <v>8.9999999999999947</v>
      </c>
      <c r="DC19" s="61"/>
      <c r="DD19" s="143">
        <f>5+1</f>
        <v>6</v>
      </c>
      <c r="DE19" s="149">
        <f t="shared" si="35"/>
        <v>2.9999999999999947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1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175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1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0</v>
      </c>
      <c r="G21" s="62">
        <f>-10+16</f>
        <v>6</v>
      </c>
      <c r="H21" s="143"/>
      <c r="I21" s="13">
        <f t="shared" si="0"/>
        <v>6</v>
      </c>
      <c r="J21" s="62"/>
      <c r="K21" s="143"/>
      <c r="L21" s="13">
        <f t="shared" si="1"/>
        <v>6</v>
      </c>
      <c r="M21" s="62">
        <v>3</v>
      </c>
      <c r="N21" s="143">
        <f>2+1</f>
        <v>3</v>
      </c>
      <c r="O21" s="13">
        <f t="shared" si="2"/>
        <v>6</v>
      </c>
      <c r="P21" s="62">
        <v>5</v>
      </c>
      <c r="Q21" s="143">
        <f>1+4</f>
        <v>5</v>
      </c>
      <c r="R21" s="30">
        <f t="shared" si="3"/>
        <v>6</v>
      </c>
      <c r="S21" s="62"/>
      <c r="T21" s="143"/>
      <c r="U21" s="13">
        <f t="shared" si="4"/>
        <v>6</v>
      </c>
      <c r="V21" s="62">
        <v>2</v>
      </c>
      <c r="W21" s="143">
        <f>1+2</f>
        <v>3</v>
      </c>
      <c r="X21" s="13">
        <f t="shared" si="5"/>
        <v>5</v>
      </c>
      <c r="Y21" s="62">
        <v>4</v>
      </c>
      <c r="Z21" s="143">
        <v>1</v>
      </c>
      <c r="AA21" s="13">
        <f t="shared" si="27"/>
        <v>8</v>
      </c>
      <c r="AB21" s="62"/>
      <c r="AC21" s="143">
        <f>2+1</f>
        <v>3</v>
      </c>
      <c r="AD21" s="13">
        <f t="shared" si="28"/>
        <v>5</v>
      </c>
      <c r="AE21" s="62"/>
      <c r="AF21" s="143"/>
      <c r="AG21" s="13">
        <f t="shared" si="29"/>
        <v>5</v>
      </c>
      <c r="AH21" s="61"/>
      <c r="AI21" s="143">
        <v>1</v>
      </c>
      <c r="AJ21" s="13">
        <f t="shared" si="30"/>
        <v>4</v>
      </c>
      <c r="AK21" s="62"/>
      <c r="AL21" s="143">
        <v>1</v>
      </c>
      <c r="AM21" s="13">
        <f t="shared" si="6"/>
        <v>3</v>
      </c>
      <c r="AN21" s="62"/>
      <c r="AO21" s="143"/>
      <c r="AP21" s="13">
        <f t="shared" si="7"/>
        <v>3</v>
      </c>
      <c r="AQ21" s="62"/>
      <c r="AR21" s="143">
        <v>1</v>
      </c>
      <c r="AS21" s="13">
        <f t="shared" si="8"/>
        <v>2</v>
      </c>
      <c r="AT21" s="62"/>
      <c r="AU21" s="143"/>
      <c r="AV21" s="13">
        <f t="shared" si="9"/>
        <v>2</v>
      </c>
      <c r="AW21" s="62">
        <f>-2+4</f>
        <v>2</v>
      </c>
      <c r="AX21" s="143">
        <v>2</v>
      </c>
      <c r="AY21" s="13">
        <f t="shared" si="10"/>
        <v>2</v>
      </c>
      <c r="AZ21" s="62"/>
      <c r="BA21" s="143"/>
      <c r="BB21" s="13">
        <f t="shared" si="11"/>
        <v>2</v>
      </c>
      <c r="BC21" s="62">
        <f>-4+9</f>
        <v>5</v>
      </c>
      <c r="BD21" s="143">
        <v>2</v>
      </c>
      <c r="BE21" s="13">
        <f t="shared" si="12"/>
        <v>5</v>
      </c>
      <c r="BF21" s="62">
        <v>2</v>
      </c>
      <c r="BG21" s="143">
        <f>1</f>
        <v>1</v>
      </c>
      <c r="BH21" s="13">
        <f t="shared" si="13"/>
        <v>6</v>
      </c>
      <c r="BI21" s="62"/>
      <c r="BJ21" s="143"/>
      <c r="BK21" s="13">
        <f t="shared" si="14"/>
        <v>6</v>
      </c>
      <c r="BL21" s="62"/>
      <c r="BM21" s="190">
        <f>2+2</f>
        <v>4</v>
      </c>
      <c r="BN21" s="13">
        <f t="shared" si="15"/>
        <v>2</v>
      </c>
      <c r="BO21" s="62">
        <f>-1+5</f>
        <v>4</v>
      </c>
      <c r="BP21" s="143">
        <v>2</v>
      </c>
      <c r="BQ21" s="13">
        <f t="shared" si="16"/>
        <v>4</v>
      </c>
      <c r="BR21" s="62">
        <v>1</v>
      </c>
      <c r="BS21" s="143">
        <v>3</v>
      </c>
      <c r="BT21" s="13">
        <f t="shared" si="17"/>
        <v>2</v>
      </c>
      <c r="BU21" s="62"/>
      <c r="BV21" s="143"/>
      <c r="BW21" s="13">
        <f t="shared" si="18"/>
        <v>2</v>
      </c>
      <c r="BX21" s="175">
        <f>-3+7</f>
        <v>4</v>
      </c>
      <c r="BY21" s="143">
        <v>2</v>
      </c>
      <c r="BZ21" s="13">
        <f t="shared" si="19"/>
        <v>4</v>
      </c>
      <c r="CA21" s="62">
        <v>1</v>
      </c>
      <c r="CB21" s="143">
        <f>1+1</f>
        <v>2</v>
      </c>
      <c r="CC21" s="13">
        <f t="shared" si="20"/>
        <v>3</v>
      </c>
      <c r="CD21" s="62"/>
      <c r="CE21" s="143"/>
      <c r="CF21" s="13">
        <f t="shared" si="21"/>
        <v>3</v>
      </c>
      <c r="CG21" s="62">
        <f>-5+11</f>
        <v>6</v>
      </c>
      <c r="CH21" s="143">
        <f>1+2</f>
        <v>3</v>
      </c>
      <c r="CI21" s="13">
        <f t="shared" si="31"/>
        <v>6</v>
      </c>
      <c r="CJ21" s="62"/>
      <c r="CK21" s="143">
        <f>1+2</f>
        <v>3</v>
      </c>
      <c r="CL21" s="13">
        <f t="shared" si="32"/>
        <v>3</v>
      </c>
      <c r="CM21" s="62">
        <f>-4+7</f>
        <v>3</v>
      </c>
      <c r="CN21" s="143">
        <v>3</v>
      </c>
      <c r="CO21" s="13">
        <f t="shared" si="22"/>
        <v>3</v>
      </c>
      <c r="CP21" s="62"/>
      <c r="CQ21" s="143"/>
      <c r="CR21" s="13">
        <f t="shared" si="33"/>
        <v>3</v>
      </c>
      <c r="CS21" s="61">
        <f>-2+2</f>
        <v>0</v>
      </c>
      <c r="CT21" s="143">
        <f>1+2</f>
        <v>3</v>
      </c>
      <c r="CU21" s="14">
        <f t="shared" si="23"/>
        <v>0</v>
      </c>
      <c r="CV21" s="5">
        <f t="shared" si="24"/>
        <v>48</v>
      </c>
      <c r="CW21" s="4">
        <f t="shared" si="24"/>
        <v>48</v>
      </c>
      <c r="CX21" s="6">
        <f t="shared" si="25"/>
        <v>0</v>
      </c>
      <c r="CY21" s="162">
        <v>180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10.000000000000007</v>
      </c>
      <c r="G22" s="62"/>
      <c r="H22" s="143">
        <f>1.4+3</f>
        <v>4.4000000000000004</v>
      </c>
      <c r="I22" s="13">
        <f t="shared" si="0"/>
        <v>5.6000000000000068</v>
      </c>
      <c r="J22" s="62"/>
      <c r="K22" s="143"/>
      <c r="L22" s="13">
        <f t="shared" si="1"/>
        <v>5.6000000000000068</v>
      </c>
      <c r="M22" s="62"/>
      <c r="N22" s="143">
        <f>2.7+1.2</f>
        <v>3.9000000000000004</v>
      </c>
      <c r="O22" s="13">
        <f t="shared" si="2"/>
        <v>1.7000000000000064</v>
      </c>
      <c r="P22" s="62">
        <v>10</v>
      </c>
      <c r="Q22" s="143">
        <f>2.8+3.6+5.5</f>
        <v>11.9</v>
      </c>
      <c r="R22" s="30">
        <f t="shared" si="3"/>
        <v>-0.19999999999999396</v>
      </c>
      <c r="S22" s="62"/>
      <c r="T22" s="143"/>
      <c r="U22" s="13">
        <f t="shared" si="4"/>
        <v>-0.19999999999999396</v>
      </c>
      <c r="V22" s="62">
        <v>10</v>
      </c>
      <c r="W22" s="143">
        <f>0.3</f>
        <v>0.3</v>
      </c>
      <c r="X22" s="13">
        <f t="shared" si="5"/>
        <v>9.5000000000000053</v>
      </c>
      <c r="Y22" s="62"/>
      <c r="Z22" s="143">
        <f>3.2</f>
        <v>3.2</v>
      </c>
      <c r="AA22" s="13">
        <f t="shared" si="27"/>
        <v>6.3000000000000052</v>
      </c>
      <c r="AB22" s="62">
        <v>10</v>
      </c>
      <c r="AC22" s="143">
        <f>2.7+2.4+2</f>
        <v>7.1</v>
      </c>
      <c r="AD22" s="13">
        <f t="shared" si="28"/>
        <v>9.2000000000000046</v>
      </c>
      <c r="AE22" s="62"/>
      <c r="AF22" s="143"/>
      <c r="AG22" s="13">
        <f t="shared" si="29"/>
        <v>9.2000000000000046</v>
      </c>
      <c r="AH22" s="61">
        <v>10</v>
      </c>
      <c r="AI22" s="143">
        <f>1.9+10</f>
        <v>11.9</v>
      </c>
      <c r="AJ22" s="13">
        <f t="shared" si="30"/>
        <v>7.3000000000000025</v>
      </c>
      <c r="AK22" s="62"/>
      <c r="AL22" s="143">
        <f>1.8</f>
        <v>1.8</v>
      </c>
      <c r="AM22" s="13">
        <f t="shared" si="6"/>
        <v>5.5000000000000027</v>
      </c>
      <c r="AN22" s="62"/>
      <c r="AO22" s="143"/>
      <c r="AP22" s="13">
        <f t="shared" si="7"/>
        <v>5.5000000000000027</v>
      </c>
      <c r="AQ22" s="62">
        <v>10</v>
      </c>
      <c r="AR22" s="143">
        <f>0.3+0.3+2.4</f>
        <v>3</v>
      </c>
      <c r="AS22" s="13">
        <f t="shared" si="8"/>
        <v>12.500000000000004</v>
      </c>
      <c r="AT22" s="62"/>
      <c r="AU22" s="143">
        <f>0.6</f>
        <v>0.6</v>
      </c>
      <c r="AV22" s="13">
        <f t="shared" si="9"/>
        <v>11.900000000000004</v>
      </c>
      <c r="AW22" s="62"/>
      <c r="AX22" s="143">
        <f>1.4</f>
        <v>1.4</v>
      </c>
      <c r="AY22" s="13">
        <f t="shared" si="10"/>
        <v>10.500000000000004</v>
      </c>
      <c r="AZ22" s="62"/>
      <c r="BA22" s="143"/>
      <c r="BB22" s="13">
        <f t="shared" si="11"/>
        <v>10.500000000000004</v>
      </c>
      <c r="BC22" s="62">
        <v>10</v>
      </c>
      <c r="BD22" s="143">
        <f>2.4+3.2</f>
        <v>5.6</v>
      </c>
      <c r="BE22" s="13">
        <f t="shared" si="12"/>
        <v>14.900000000000004</v>
      </c>
      <c r="BF22" s="62">
        <v>10</v>
      </c>
      <c r="BG22" s="143">
        <f>5.4+2.7+10+0.4</f>
        <v>18.5</v>
      </c>
      <c r="BH22" s="13">
        <f t="shared" si="13"/>
        <v>6.4000000000000057</v>
      </c>
      <c r="BI22" s="62"/>
      <c r="BJ22" s="143"/>
      <c r="BK22" s="13">
        <f t="shared" si="14"/>
        <v>6.4000000000000057</v>
      </c>
      <c r="BL22" s="62"/>
      <c r="BM22" s="143"/>
      <c r="BN22" s="13">
        <f t="shared" si="15"/>
        <v>6.4000000000000057</v>
      </c>
      <c r="BO22" s="62"/>
      <c r="BP22" s="143">
        <v>2.2999999999999998</v>
      </c>
      <c r="BQ22" s="13">
        <f t="shared" si="16"/>
        <v>4.1000000000000059</v>
      </c>
      <c r="BR22" s="62">
        <v>20</v>
      </c>
      <c r="BS22" s="143">
        <f>2.7+0.2+4.5</f>
        <v>7.4</v>
      </c>
      <c r="BT22" s="13">
        <f t="shared" si="17"/>
        <v>16.700000000000003</v>
      </c>
      <c r="BU22" s="62"/>
      <c r="BV22" s="143"/>
      <c r="BW22" s="13">
        <f t="shared" si="18"/>
        <v>16.700000000000003</v>
      </c>
      <c r="BX22" s="175"/>
      <c r="BY22" s="143"/>
      <c r="BZ22" s="13">
        <f t="shared" si="19"/>
        <v>16.700000000000003</v>
      </c>
      <c r="CA22" s="62">
        <v>10</v>
      </c>
      <c r="CB22" s="143">
        <f>1.6+3.1+3.2</f>
        <v>7.9</v>
      </c>
      <c r="CC22" s="13">
        <f t="shared" si="20"/>
        <v>18.800000000000004</v>
      </c>
      <c r="CD22" s="62"/>
      <c r="CE22" s="143"/>
      <c r="CF22" s="13">
        <f t="shared" si="21"/>
        <v>18.800000000000004</v>
      </c>
      <c r="CG22" s="62"/>
      <c r="CH22" s="143">
        <f>0.9</f>
        <v>0.9</v>
      </c>
      <c r="CI22" s="13">
        <f t="shared" si="31"/>
        <v>17.900000000000006</v>
      </c>
      <c r="CJ22" s="62"/>
      <c r="CK22" s="143">
        <f>1.7</f>
        <v>1.7</v>
      </c>
      <c r="CL22" s="13">
        <f t="shared" si="32"/>
        <v>16.200000000000006</v>
      </c>
      <c r="CM22" s="62"/>
      <c r="CN22" s="143">
        <f>3.5</f>
        <v>3.5</v>
      </c>
      <c r="CO22" s="13">
        <f t="shared" si="22"/>
        <v>12.700000000000006</v>
      </c>
      <c r="CP22" s="62"/>
      <c r="CQ22" s="143"/>
      <c r="CR22" s="13">
        <f t="shared" si="33"/>
        <v>12.700000000000006</v>
      </c>
      <c r="CS22" s="62"/>
      <c r="CT22" s="143"/>
      <c r="CU22" s="14">
        <f t="shared" si="23"/>
        <v>12.700000000000006</v>
      </c>
      <c r="CV22" s="5">
        <f t="shared" si="24"/>
        <v>100</v>
      </c>
      <c r="CW22" s="4">
        <f t="shared" si="24"/>
        <v>97.300000000000011</v>
      </c>
      <c r="CX22" s="6">
        <f t="shared" si="25"/>
        <v>12.700000000000006</v>
      </c>
      <c r="CY22" s="162">
        <v>220</v>
      </c>
      <c r="CZ22" s="171">
        <f t="shared" si="26"/>
        <v>2794.0000000000014</v>
      </c>
      <c r="DB22" s="2">
        <f t="shared" si="34"/>
        <v>12.700000000000006</v>
      </c>
      <c r="DC22" s="62"/>
      <c r="DD22" s="143">
        <f>3.5</f>
        <v>3.5</v>
      </c>
      <c r="DE22" s="149">
        <f t="shared" si="35"/>
        <v>9.2000000000000064</v>
      </c>
    </row>
    <row r="23" spans="1:109" ht="15.75" customHeight="1">
      <c r="A23" s="33"/>
      <c r="B23" s="7" t="s">
        <v>284</v>
      </c>
      <c r="C23" s="105" t="s">
        <v>32</v>
      </c>
      <c r="D23" s="35" t="s">
        <v>57</v>
      </c>
      <c r="E23" s="35" t="s">
        <v>58</v>
      </c>
      <c r="F23" s="14">
        <v>19</v>
      </c>
      <c r="G23" s="62">
        <v>30</v>
      </c>
      <c r="H23" s="143">
        <v>10</v>
      </c>
      <c r="I23" s="13">
        <f t="shared" si="0"/>
        <v>39</v>
      </c>
      <c r="J23" s="62"/>
      <c r="K23" s="143"/>
      <c r="L23" s="13">
        <f t="shared" si="1"/>
        <v>39</v>
      </c>
      <c r="M23" s="62"/>
      <c r="N23" s="143">
        <f>8+1</f>
        <v>9</v>
      </c>
      <c r="O23" s="13">
        <f t="shared" si="2"/>
        <v>30</v>
      </c>
      <c r="P23" s="62">
        <v>90</v>
      </c>
      <c r="Q23" s="143">
        <v>21</v>
      </c>
      <c r="R23" s="13">
        <f t="shared" si="3"/>
        <v>99</v>
      </c>
      <c r="S23" s="62"/>
      <c r="T23" s="143"/>
      <c r="U23" s="13">
        <f t="shared" si="4"/>
        <v>99</v>
      </c>
      <c r="V23" s="62"/>
      <c r="W23" s="143">
        <f>6+1</f>
        <v>7</v>
      </c>
      <c r="X23" s="13">
        <f t="shared" si="5"/>
        <v>92</v>
      </c>
      <c r="Y23" s="62"/>
      <c r="Z23" s="143">
        <v>11</v>
      </c>
      <c r="AA23" s="13">
        <f t="shared" si="27"/>
        <v>81</v>
      </c>
      <c r="AB23" s="62"/>
      <c r="AC23" s="143">
        <v>8</v>
      </c>
      <c r="AD23" s="13">
        <f t="shared" si="28"/>
        <v>73</v>
      </c>
      <c r="AE23" s="62"/>
      <c r="AF23" s="143"/>
      <c r="AG23" s="13">
        <f t="shared" si="29"/>
        <v>73</v>
      </c>
      <c r="AH23" s="61"/>
      <c r="AI23" s="143">
        <f>6+1</f>
        <v>7</v>
      </c>
      <c r="AJ23" s="13">
        <f t="shared" si="30"/>
        <v>66</v>
      </c>
      <c r="AK23" s="62"/>
      <c r="AL23" s="143">
        <f>10+1+1</f>
        <v>12</v>
      </c>
      <c r="AM23" s="13">
        <f t="shared" si="6"/>
        <v>54</v>
      </c>
      <c r="AN23" s="62"/>
      <c r="AO23" s="143"/>
      <c r="AP23" s="13">
        <f t="shared" si="7"/>
        <v>54</v>
      </c>
      <c r="AQ23" s="62"/>
      <c r="AR23" s="143">
        <f>9+1</f>
        <v>10</v>
      </c>
      <c r="AS23" s="13">
        <f t="shared" si="8"/>
        <v>44</v>
      </c>
      <c r="AT23" s="62"/>
      <c r="AU23" s="143">
        <v>9</v>
      </c>
      <c r="AV23" s="13">
        <f t="shared" si="9"/>
        <v>35</v>
      </c>
      <c r="AW23" s="62"/>
      <c r="AX23" s="143">
        <f>12+1</f>
        <v>13</v>
      </c>
      <c r="AY23" s="13">
        <f t="shared" si="10"/>
        <v>22</v>
      </c>
      <c r="AZ23" s="62"/>
      <c r="BA23" s="143"/>
      <c r="BB23" s="13">
        <f t="shared" si="11"/>
        <v>22</v>
      </c>
      <c r="BC23" s="62">
        <v>30</v>
      </c>
      <c r="BD23" s="143">
        <f>6+1</f>
        <v>7</v>
      </c>
      <c r="BE23" s="13">
        <f t="shared" si="12"/>
        <v>45</v>
      </c>
      <c r="BF23" s="62">
        <v>60</v>
      </c>
      <c r="BG23" s="143">
        <f>15+2</f>
        <v>17</v>
      </c>
      <c r="BH23" s="13">
        <f t="shared" si="13"/>
        <v>88</v>
      </c>
      <c r="BI23" s="62"/>
      <c r="BJ23" s="143"/>
      <c r="BK23" s="13">
        <f t="shared" si="14"/>
        <v>88</v>
      </c>
      <c r="BL23" s="62"/>
      <c r="BM23" s="143">
        <v>18</v>
      </c>
      <c r="BN23" s="13">
        <f t="shared" si="15"/>
        <v>70</v>
      </c>
      <c r="BO23" s="62"/>
      <c r="BP23" s="143">
        <f>6</f>
        <v>6</v>
      </c>
      <c r="BQ23" s="13">
        <f t="shared" si="16"/>
        <v>64</v>
      </c>
      <c r="BR23" s="62"/>
      <c r="BS23" s="143">
        <f>12+1</f>
        <v>13</v>
      </c>
      <c r="BT23" s="13">
        <f t="shared" si="17"/>
        <v>51</v>
      </c>
      <c r="BU23" s="62"/>
      <c r="BV23" s="143"/>
      <c r="BW23" s="13">
        <f t="shared" si="18"/>
        <v>51</v>
      </c>
      <c r="BX23" s="175"/>
      <c r="BY23" s="143">
        <f>4</f>
        <v>4</v>
      </c>
      <c r="BZ23" s="13">
        <f t="shared" si="19"/>
        <v>47</v>
      </c>
      <c r="CA23" s="62">
        <v>30</v>
      </c>
      <c r="CB23" s="143">
        <f>34+1+1</f>
        <v>36</v>
      </c>
      <c r="CC23" s="13">
        <f t="shared" si="20"/>
        <v>41</v>
      </c>
      <c r="CD23" s="62"/>
      <c r="CE23" s="143"/>
      <c r="CF23" s="13">
        <f t="shared" si="21"/>
        <v>41</v>
      </c>
      <c r="CG23" s="62"/>
      <c r="CH23" s="143">
        <f>10+1</f>
        <v>11</v>
      </c>
      <c r="CI23" s="13">
        <f t="shared" si="31"/>
        <v>30</v>
      </c>
      <c r="CJ23" s="62">
        <v>30</v>
      </c>
      <c r="CK23" s="143">
        <v>4</v>
      </c>
      <c r="CL23" s="13">
        <f t="shared" si="32"/>
        <v>56</v>
      </c>
      <c r="CM23" s="62"/>
      <c r="CN23" s="143">
        <v>22</v>
      </c>
      <c r="CO23" s="13">
        <f t="shared" si="22"/>
        <v>34</v>
      </c>
      <c r="CP23" s="62"/>
      <c r="CQ23" s="143"/>
      <c r="CR23" s="13">
        <f t="shared" si="33"/>
        <v>34</v>
      </c>
      <c r="CS23" s="61"/>
      <c r="CT23" s="143">
        <f>4</f>
        <v>4</v>
      </c>
      <c r="CU23" s="14">
        <f t="shared" si="23"/>
        <v>30</v>
      </c>
      <c r="CV23" s="5">
        <f t="shared" si="24"/>
        <v>270</v>
      </c>
      <c r="CW23" s="4">
        <f t="shared" si="24"/>
        <v>259</v>
      </c>
      <c r="CX23" s="6">
        <f t="shared" si="25"/>
        <v>30</v>
      </c>
      <c r="CY23" s="162">
        <v>160</v>
      </c>
      <c r="CZ23" s="171">
        <f t="shared" si="26"/>
        <v>4800</v>
      </c>
      <c r="DB23" s="2">
        <f t="shared" si="34"/>
        <v>30</v>
      </c>
      <c r="DC23" s="61"/>
      <c r="DD23" s="143"/>
      <c r="DE23" s="149">
        <f t="shared" si="35"/>
        <v>30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2</v>
      </c>
      <c r="G24" s="62"/>
      <c r="H24" s="143"/>
      <c r="I24" s="13">
        <f t="shared" si="0"/>
        <v>2</v>
      </c>
      <c r="J24" s="62"/>
      <c r="K24" s="143"/>
      <c r="L24" s="13">
        <f t="shared" si="1"/>
        <v>2</v>
      </c>
      <c r="M24" s="62"/>
      <c r="N24" s="143"/>
      <c r="O24" s="13">
        <f t="shared" si="2"/>
        <v>2</v>
      </c>
      <c r="P24" s="62"/>
      <c r="Q24" s="143"/>
      <c r="R24" s="30">
        <f t="shared" si="3"/>
        <v>2</v>
      </c>
      <c r="S24" s="62"/>
      <c r="T24" s="143"/>
      <c r="U24" s="13">
        <f t="shared" si="4"/>
        <v>2</v>
      </c>
      <c r="V24" s="62"/>
      <c r="W24" s="143"/>
      <c r="X24" s="13">
        <f t="shared" si="5"/>
        <v>2</v>
      </c>
      <c r="Y24" s="62">
        <v>9</v>
      </c>
      <c r="Z24" s="143"/>
      <c r="AA24" s="13">
        <f t="shared" si="27"/>
        <v>11</v>
      </c>
      <c r="AB24" s="62"/>
      <c r="AC24" s="143">
        <f>7</f>
        <v>7</v>
      </c>
      <c r="AD24" s="13">
        <f t="shared" si="28"/>
        <v>4</v>
      </c>
      <c r="AE24" s="62"/>
      <c r="AF24" s="143"/>
      <c r="AG24" s="13">
        <f t="shared" si="29"/>
        <v>4</v>
      </c>
      <c r="AH24" s="61"/>
      <c r="AI24" s="143"/>
      <c r="AJ24" s="13">
        <f t="shared" si="30"/>
        <v>4</v>
      </c>
      <c r="AK24" s="62"/>
      <c r="AL24" s="143"/>
      <c r="AM24" s="13">
        <f t="shared" si="6"/>
        <v>4</v>
      </c>
      <c r="AN24" s="62"/>
      <c r="AO24" s="143"/>
      <c r="AP24" s="13">
        <f t="shared" si="7"/>
        <v>4</v>
      </c>
      <c r="AQ24" s="62"/>
      <c r="AR24" s="143"/>
      <c r="AS24" s="13">
        <f t="shared" si="8"/>
        <v>4</v>
      </c>
      <c r="AT24" s="62"/>
      <c r="AU24" s="143">
        <v>1</v>
      </c>
      <c r="AV24" s="13">
        <f t="shared" si="9"/>
        <v>3</v>
      </c>
      <c r="AW24" s="62"/>
      <c r="AX24" s="143"/>
      <c r="AY24" s="13">
        <f t="shared" si="10"/>
        <v>3</v>
      </c>
      <c r="AZ24" s="62"/>
      <c r="BA24" s="143"/>
      <c r="BB24" s="13">
        <f t="shared" si="11"/>
        <v>3</v>
      </c>
      <c r="BC24" s="62"/>
      <c r="BD24" s="143"/>
      <c r="BE24" s="13">
        <f t="shared" si="12"/>
        <v>3</v>
      </c>
      <c r="BF24" s="62"/>
      <c r="BG24" s="143"/>
      <c r="BH24" s="13">
        <f t="shared" si="13"/>
        <v>3</v>
      </c>
      <c r="BI24" s="62"/>
      <c r="BJ24" s="143"/>
      <c r="BK24" s="13">
        <f t="shared" si="14"/>
        <v>3</v>
      </c>
      <c r="BL24" s="62"/>
      <c r="BM24" s="143"/>
      <c r="BN24" s="13">
        <f t="shared" si="15"/>
        <v>3</v>
      </c>
      <c r="BO24" s="62"/>
      <c r="BP24" s="143"/>
      <c r="BQ24" s="13">
        <f t="shared" si="16"/>
        <v>3</v>
      </c>
      <c r="BR24" s="62">
        <v>10</v>
      </c>
      <c r="BS24" s="143">
        <f>4+7</f>
        <v>11</v>
      </c>
      <c r="BT24" s="13">
        <f t="shared" si="17"/>
        <v>2</v>
      </c>
      <c r="BU24" s="62"/>
      <c r="BV24" s="143"/>
      <c r="BW24" s="13">
        <f t="shared" si="18"/>
        <v>2</v>
      </c>
      <c r="BX24" s="175"/>
      <c r="BY24" s="143"/>
      <c r="BZ24" s="13">
        <f t="shared" si="19"/>
        <v>2</v>
      </c>
      <c r="CA24" s="62">
        <v>9</v>
      </c>
      <c r="CB24" s="143">
        <v>4</v>
      </c>
      <c r="CC24" s="13">
        <f t="shared" si="20"/>
        <v>7</v>
      </c>
      <c r="CD24" s="62"/>
      <c r="CE24" s="143"/>
      <c r="CF24" s="13">
        <f t="shared" si="21"/>
        <v>7</v>
      </c>
      <c r="CG24" s="62"/>
      <c r="CH24" s="143"/>
      <c r="CI24" s="13">
        <f t="shared" si="31"/>
        <v>7</v>
      </c>
      <c r="CJ24" s="62"/>
      <c r="CK24" s="143"/>
      <c r="CL24" s="13">
        <f t="shared" si="32"/>
        <v>7</v>
      </c>
      <c r="CM24" s="62"/>
      <c r="CN24" s="143">
        <f>6</f>
        <v>6</v>
      </c>
      <c r="CO24" s="13">
        <f t="shared" si="22"/>
        <v>1</v>
      </c>
      <c r="CP24" s="62"/>
      <c r="CQ24" s="143"/>
      <c r="CR24" s="13">
        <f t="shared" si="33"/>
        <v>1</v>
      </c>
      <c r="CS24" s="61"/>
      <c r="CT24" s="143"/>
      <c r="CU24" s="14">
        <f t="shared" si="23"/>
        <v>1</v>
      </c>
      <c r="CV24" s="5">
        <f t="shared" si="24"/>
        <v>28</v>
      </c>
      <c r="CW24" s="4">
        <f t="shared" si="24"/>
        <v>29</v>
      </c>
      <c r="CX24" s="6">
        <f t="shared" si="25"/>
        <v>1</v>
      </c>
      <c r="CY24" s="162">
        <v>64</v>
      </c>
      <c r="CZ24" s="171">
        <f t="shared" si="26"/>
        <v>64</v>
      </c>
      <c r="DB24" s="2">
        <f t="shared" si="34"/>
        <v>1</v>
      </c>
      <c r="DC24" s="61"/>
      <c r="DD24" s="143"/>
      <c r="DE24" s="149">
        <f t="shared" si="35"/>
        <v>1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7</v>
      </c>
      <c r="G25" s="62"/>
      <c r="H25" s="143">
        <f>1</f>
        <v>1</v>
      </c>
      <c r="I25" s="13">
        <f t="shared" si="0"/>
        <v>6</v>
      </c>
      <c r="J25" s="62"/>
      <c r="K25" s="143"/>
      <c r="L25" s="13">
        <f t="shared" si="1"/>
        <v>6</v>
      </c>
      <c r="M25" s="62">
        <v>10</v>
      </c>
      <c r="N25" s="143">
        <f>1+2+2</f>
        <v>5</v>
      </c>
      <c r="O25" s="13">
        <f t="shared" si="2"/>
        <v>11</v>
      </c>
      <c r="P25" s="62">
        <v>10</v>
      </c>
      <c r="Q25" s="143">
        <f>1+1+5+1.5</f>
        <v>8.5</v>
      </c>
      <c r="R25" s="30">
        <f t="shared" si="3"/>
        <v>12.5</v>
      </c>
      <c r="S25" s="62"/>
      <c r="T25" s="143"/>
      <c r="U25" s="13">
        <f t="shared" si="4"/>
        <v>12.5</v>
      </c>
      <c r="V25" s="62"/>
      <c r="W25" s="143">
        <f>1+7+0.5</f>
        <v>8.5</v>
      </c>
      <c r="X25" s="13">
        <f t="shared" si="5"/>
        <v>4</v>
      </c>
      <c r="Y25" s="62">
        <v>10</v>
      </c>
      <c r="Z25" s="143">
        <f>1.5+1.5+1</f>
        <v>4</v>
      </c>
      <c r="AA25" s="13">
        <f t="shared" si="27"/>
        <v>10</v>
      </c>
      <c r="AB25" s="62"/>
      <c r="AC25" s="143">
        <f>1+0.5+1+1+1+2.5</f>
        <v>7</v>
      </c>
      <c r="AD25" s="13">
        <f t="shared" si="28"/>
        <v>3</v>
      </c>
      <c r="AE25" s="62"/>
      <c r="AF25" s="143"/>
      <c r="AG25" s="13">
        <f t="shared" si="29"/>
        <v>3</v>
      </c>
      <c r="AH25" s="61">
        <v>10</v>
      </c>
      <c r="AI25" s="143"/>
      <c r="AJ25" s="13">
        <f t="shared" si="30"/>
        <v>13</v>
      </c>
      <c r="AK25" s="62"/>
      <c r="AL25" s="143">
        <f>1+1+1+1+3+2+1</f>
        <v>10</v>
      </c>
      <c r="AM25" s="13">
        <f t="shared" si="6"/>
        <v>3</v>
      </c>
      <c r="AN25" s="62"/>
      <c r="AO25" s="143"/>
      <c r="AP25" s="13">
        <f t="shared" si="7"/>
        <v>3</v>
      </c>
      <c r="AQ25" s="62">
        <v>10</v>
      </c>
      <c r="AR25" s="143">
        <f>1+0.5</f>
        <v>1.5</v>
      </c>
      <c r="AS25" s="13">
        <f t="shared" si="8"/>
        <v>11.5</v>
      </c>
      <c r="AT25" s="62"/>
      <c r="AU25" s="143">
        <f>1+3+2.5</f>
        <v>6.5</v>
      </c>
      <c r="AV25" s="13">
        <f t="shared" si="9"/>
        <v>5</v>
      </c>
      <c r="AW25" s="62">
        <v>10</v>
      </c>
      <c r="AX25" s="143">
        <f>5+1+1</f>
        <v>7</v>
      </c>
      <c r="AY25" s="13">
        <f t="shared" si="10"/>
        <v>8</v>
      </c>
      <c r="AZ25" s="62"/>
      <c r="BA25" s="143"/>
      <c r="BB25" s="13">
        <f t="shared" si="11"/>
        <v>8</v>
      </c>
      <c r="BC25" s="62"/>
      <c r="BD25" s="143">
        <f>1+4</f>
        <v>5</v>
      </c>
      <c r="BE25" s="13">
        <f t="shared" si="12"/>
        <v>3</v>
      </c>
      <c r="BF25" s="62">
        <v>10</v>
      </c>
      <c r="BG25" s="143">
        <f>1+1+2+2</f>
        <v>6</v>
      </c>
      <c r="BH25" s="13">
        <f t="shared" si="13"/>
        <v>7</v>
      </c>
      <c r="BI25" s="62"/>
      <c r="BJ25" s="143">
        <v>2</v>
      </c>
      <c r="BK25" s="13">
        <f t="shared" si="14"/>
        <v>5</v>
      </c>
      <c r="BL25" s="62"/>
      <c r="BM25" s="143"/>
      <c r="BN25" s="13">
        <f t="shared" si="15"/>
        <v>5</v>
      </c>
      <c r="BO25" s="62">
        <v>10</v>
      </c>
      <c r="BP25" s="143">
        <v>4</v>
      </c>
      <c r="BQ25" s="13">
        <f t="shared" si="16"/>
        <v>11</v>
      </c>
      <c r="BR25" s="62">
        <v>10</v>
      </c>
      <c r="BS25" s="143">
        <f>4+1</f>
        <v>5</v>
      </c>
      <c r="BT25" s="13">
        <f t="shared" si="17"/>
        <v>16</v>
      </c>
      <c r="BU25" s="62"/>
      <c r="BV25" s="143"/>
      <c r="BW25" s="13">
        <f t="shared" si="18"/>
        <v>16</v>
      </c>
      <c r="BX25" s="175"/>
      <c r="BY25" s="143">
        <f>4</f>
        <v>4</v>
      </c>
      <c r="BZ25" s="13">
        <f t="shared" si="19"/>
        <v>12</v>
      </c>
      <c r="CA25" s="62">
        <v>10</v>
      </c>
      <c r="CB25" s="143">
        <f>1+2+1+2+2+2+1</f>
        <v>11</v>
      </c>
      <c r="CC25" s="13">
        <f t="shared" si="20"/>
        <v>11</v>
      </c>
      <c r="CD25" s="62"/>
      <c r="CE25" s="143"/>
      <c r="CF25" s="13">
        <f t="shared" si="21"/>
        <v>11</v>
      </c>
      <c r="CG25" s="62"/>
      <c r="CH25" s="143">
        <f>1+0.5</f>
        <v>1.5</v>
      </c>
      <c r="CI25" s="13">
        <f t="shared" si="31"/>
        <v>9.5</v>
      </c>
      <c r="CJ25" s="62"/>
      <c r="CK25" s="143">
        <v>3</v>
      </c>
      <c r="CL25" s="13">
        <f t="shared" si="32"/>
        <v>6.5</v>
      </c>
      <c r="CM25" s="62"/>
      <c r="CN25" s="143">
        <f>1+1+1+1+1</f>
        <v>5</v>
      </c>
      <c r="CO25" s="13">
        <f t="shared" si="22"/>
        <v>1.5</v>
      </c>
      <c r="CP25" s="62"/>
      <c r="CQ25" s="143"/>
      <c r="CR25" s="13">
        <f t="shared" si="33"/>
        <v>1.5</v>
      </c>
      <c r="CS25" s="61">
        <v>11</v>
      </c>
      <c r="CT25" s="143"/>
      <c r="CU25" s="14">
        <f t="shared" si="23"/>
        <v>12.5</v>
      </c>
      <c r="CV25" s="5">
        <f t="shared" si="24"/>
        <v>111</v>
      </c>
      <c r="CW25" s="4">
        <f t="shared" si="24"/>
        <v>105.5</v>
      </c>
      <c r="CX25" s="6">
        <f t="shared" si="25"/>
        <v>12.5</v>
      </c>
      <c r="CY25" s="162">
        <v>190</v>
      </c>
      <c r="CZ25" s="171">
        <f t="shared" si="26"/>
        <v>2375</v>
      </c>
      <c r="DB25" s="2">
        <f t="shared" si="34"/>
        <v>12.5</v>
      </c>
      <c r="DC25" s="61"/>
      <c r="DD25" s="143">
        <f>1+4</f>
        <v>5</v>
      </c>
      <c r="DE25" s="149">
        <f t="shared" si="35"/>
        <v>7.5</v>
      </c>
    </row>
    <row r="26" spans="1:109" ht="15.75" customHeight="1">
      <c r="A26" s="33"/>
      <c r="B26" s="7" t="s">
        <v>64</v>
      </c>
      <c r="C26" s="105" t="s">
        <v>65</v>
      </c>
      <c r="D26" s="35" t="s">
        <v>246</v>
      </c>
      <c r="E26" s="35" t="s">
        <v>51</v>
      </c>
      <c r="F26" s="14">
        <v>5</v>
      </c>
      <c r="G26" s="62">
        <v>10</v>
      </c>
      <c r="H26" s="143">
        <v>5</v>
      </c>
      <c r="I26" s="13">
        <f t="shared" si="0"/>
        <v>10</v>
      </c>
      <c r="J26" s="62"/>
      <c r="K26" s="143"/>
      <c r="L26" s="13">
        <f t="shared" si="1"/>
        <v>10</v>
      </c>
      <c r="M26" s="62">
        <v>7</v>
      </c>
      <c r="N26" s="143">
        <v>7</v>
      </c>
      <c r="O26" s="13">
        <f t="shared" si="2"/>
        <v>10</v>
      </c>
      <c r="P26" s="62"/>
      <c r="Q26" s="143"/>
      <c r="R26" s="30">
        <f t="shared" si="3"/>
        <v>10</v>
      </c>
      <c r="S26" s="62"/>
      <c r="T26" s="143"/>
      <c r="U26" s="13">
        <f t="shared" si="4"/>
        <v>10</v>
      </c>
      <c r="V26" s="62">
        <v>4</v>
      </c>
      <c r="W26" s="143">
        <v>4</v>
      </c>
      <c r="X26" s="13">
        <f t="shared" si="5"/>
        <v>10</v>
      </c>
      <c r="Y26" s="62">
        <v>5</v>
      </c>
      <c r="Z26" s="143">
        <v>5</v>
      </c>
      <c r="AA26" s="13">
        <f t="shared" si="27"/>
        <v>10</v>
      </c>
      <c r="AB26" s="62">
        <v>8</v>
      </c>
      <c r="AC26" s="143">
        <v>6</v>
      </c>
      <c r="AD26" s="13">
        <f t="shared" si="28"/>
        <v>12</v>
      </c>
      <c r="AE26" s="62"/>
      <c r="AF26" s="143"/>
      <c r="AG26" s="13">
        <f t="shared" si="29"/>
        <v>12</v>
      </c>
      <c r="AH26" s="61">
        <v>3</v>
      </c>
      <c r="AI26" s="143">
        <v>5</v>
      </c>
      <c r="AJ26" s="13">
        <f t="shared" si="30"/>
        <v>10</v>
      </c>
      <c r="AK26" s="62">
        <v>8</v>
      </c>
      <c r="AL26" s="143">
        <v>8</v>
      </c>
      <c r="AM26" s="13">
        <f t="shared" si="6"/>
        <v>10</v>
      </c>
      <c r="AN26" s="62"/>
      <c r="AO26" s="143"/>
      <c r="AP26" s="13">
        <f t="shared" si="7"/>
        <v>10</v>
      </c>
      <c r="AQ26" s="62">
        <v>3</v>
      </c>
      <c r="AR26" s="143">
        <v>3</v>
      </c>
      <c r="AS26" s="13">
        <f t="shared" si="8"/>
        <v>10</v>
      </c>
      <c r="AT26" s="62">
        <v>8</v>
      </c>
      <c r="AU26" s="143">
        <v>6</v>
      </c>
      <c r="AV26" s="13">
        <f t="shared" si="9"/>
        <v>12</v>
      </c>
      <c r="AW26" s="62">
        <v>5</v>
      </c>
      <c r="AX26" s="143">
        <v>7</v>
      </c>
      <c r="AY26" s="13">
        <f t="shared" si="10"/>
        <v>10</v>
      </c>
      <c r="AZ26" s="62"/>
      <c r="BA26" s="143"/>
      <c r="BB26" s="13">
        <f t="shared" si="11"/>
        <v>10</v>
      </c>
      <c r="BC26" s="62">
        <v>12</v>
      </c>
      <c r="BD26" s="143">
        <v>6</v>
      </c>
      <c r="BE26" s="13">
        <f t="shared" si="12"/>
        <v>16</v>
      </c>
      <c r="BF26" s="62">
        <v>12</v>
      </c>
      <c r="BG26" s="143">
        <v>9</v>
      </c>
      <c r="BH26" s="13">
        <f t="shared" si="13"/>
        <v>19</v>
      </c>
      <c r="BI26" s="62"/>
      <c r="BJ26" s="143"/>
      <c r="BK26" s="13">
        <f t="shared" si="14"/>
        <v>19</v>
      </c>
      <c r="BL26" s="62"/>
      <c r="BM26" s="143">
        <v>8</v>
      </c>
      <c r="BN26" s="13">
        <f t="shared" si="15"/>
        <v>11</v>
      </c>
      <c r="BO26" s="62">
        <v>3</v>
      </c>
      <c r="BP26" s="143">
        <v>4</v>
      </c>
      <c r="BQ26" s="13">
        <f t="shared" si="16"/>
        <v>10</v>
      </c>
      <c r="BR26" s="62">
        <v>7</v>
      </c>
      <c r="BS26" s="143">
        <v>9</v>
      </c>
      <c r="BT26" s="13">
        <f t="shared" si="17"/>
        <v>8</v>
      </c>
      <c r="BU26" s="62"/>
      <c r="BV26" s="143"/>
      <c r="BW26" s="13">
        <f t="shared" si="18"/>
        <v>8</v>
      </c>
      <c r="BX26" s="175">
        <v>10</v>
      </c>
      <c r="BY26" s="143">
        <v>6</v>
      </c>
      <c r="BZ26" s="13">
        <f t="shared" si="19"/>
        <v>12</v>
      </c>
      <c r="CA26" s="62">
        <v>5</v>
      </c>
      <c r="CB26" s="143">
        <v>7</v>
      </c>
      <c r="CC26" s="13">
        <f t="shared" si="20"/>
        <v>10</v>
      </c>
      <c r="CD26" s="62"/>
      <c r="CE26" s="143"/>
      <c r="CF26" s="13">
        <f t="shared" si="21"/>
        <v>10</v>
      </c>
      <c r="CG26" s="62">
        <v>4</v>
      </c>
      <c r="CH26" s="143">
        <v>4</v>
      </c>
      <c r="CI26" s="13">
        <f t="shared" si="31"/>
        <v>10</v>
      </c>
      <c r="CJ26" s="62">
        <v>8</v>
      </c>
      <c r="CK26" s="143">
        <v>8</v>
      </c>
      <c r="CL26" s="13">
        <f t="shared" si="32"/>
        <v>10</v>
      </c>
      <c r="CM26" s="62">
        <v>2</v>
      </c>
      <c r="CN26" s="143">
        <v>5</v>
      </c>
      <c r="CO26" s="13">
        <f t="shared" si="22"/>
        <v>7</v>
      </c>
      <c r="CP26" s="62"/>
      <c r="CQ26" s="143"/>
      <c r="CR26" s="13">
        <f t="shared" si="33"/>
        <v>7</v>
      </c>
      <c r="CS26" s="61">
        <v>6</v>
      </c>
      <c r="CT26" s="143">
        <v>6</v>
      </c>
      <c r="CU26" s="14">
        <f t="shared" si="23"/>
        <v>7</v>
      </c>
      <c r="CV26" s="5">
        <f t="shared" si="24"/>
        <v>130</v>
      </c>
      <c r="CW26" s="4">
        <f t="shared" si="24"/>
        <v>128</v>
      </c>
      <c r="CX26" s="6">
        <f t="shared" si="25"/>
        <v>7</v>
      </c>
      <c r="CY26" s="162">
        <v>4050</v>
      </c>
      <c r="CZ26" s="171">
        <f t="shared" si="26"/>
        <v>28350</v>
      </c>
      <c r="DB26" s="2">
        <f t="shared" si="34"/>
        <v>7</v>
      </c>
      <c r="DC26" s="61"/>
      <c r="DD26" s="143"/>
      <c r="DE26" s="149">
        <f t="shared" si="35"/>
        <v>7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19.52</v>
      </c>
      <c r="G27" s="62"/>
      <c r="H27" s="143">
        <f>2+0.9+0.5+0.4+0.8</f>
        <v>4.5999999999999996</v>
      </c>
      <c r="I27" s="13">
        <f t="shared" si="0"/>
        <v>14.92</v>
      </c>
      <c r="J27" s="62"/>
      <c r="K27" s="143"/>
      <c r="L27" s="13">
        <f t="shared" si="1"/>
        <v>14.92</v>
      </c>
      <c r="M27" s="62">
        <v>60</v>
      </c>
      <c r="N27" s="143">
        <f>10+2.6+1.3+0.5+0.7+1.6</f>
        <v>16.7</v>
      </c>
      <c r="O27" s="13">
        <f t="shared" si="2"/>
        <v>58.22</v>
      </c>
      <c r="P27" s="62"/>
      <c r="Q27" s="143">
        <f>0.9+2.3+3.9+1.6+0.5+1.4+1.8+1.2+1.5+1+1.5+1.2+0.8</f>
        <v>19.600000000000001</v>
      </c>
      <c r="R27" s="30">
        <f t="shared" si="3"/>
        <v>38.619999999999997</v>
      </c>
      <c r="S27" s="62"/>
      <c r="T27" s="143"/>
      <c r="U27" s="13">
        <f t="shared" si="4"/>
        <v>38.619999999999997</v>
      </c>
      <c r="V27" s="62">
        <v>20</v>
      </c>
      <c r="W27" s="143">
        <f>6.2+0.3+0.5+0.3+0.1+0.1+0.3+5-3.3</f>
        <v>9.5</v>
      </c>
      <c r="X27" s="13">
        <f t="shared" si="5"/>
        <v>49.12</v>
      </c>
      <c r="Y27" s="62"/>
      <c r="Z27" s="143">
        <f>1+2.5+3.2+0.8</f>
        <v>7.5</v>
      </c>
      <c r="AA27" s="13">
        <f t="shared" si="27"/>
        <v>41.62</v>
      </c>
      <c r="AB27" s="62">
        <v>20</v>
      </c>
      <c r="AC27" s="143">
        <f>3.9+0.7+1.2+0.8+0.7+1.2+5</f>
        <v>13.5</v>
      </c>
      <c r="AD27" s="13">
        <f t="shared" si="28"/>
        <v>48.12</v>
      </c>
      <c r="AE27" s="62"/>
      <c r="AF27" s="143"/>
      <c r="AG27" s="13">
        <f t="shared" si="29"/>
        <v>48.12</v>
      </c>
      <c r="AH27" s="61">
        <v>20</v>
      </c>
      <c r="AI27" s="143">
        <f>10+1+2.7+2.1+0.8+0.8+3.5</f>
        <v>20.9</v>
      </c>
      <c r="AJ27" s="13">
        <f t="shared" si="30"/>
        <v>47.220000000000006</v>
      </c>
      <c r="AK27" s="62">
        <v>-4</v>
      </c>
      <c r="AL27" s="143">
        <f>1.3+0.9+1.8+0.8+0.8+1.8+4.5+1.3+0.8+2.5+1.8+1.5+2.4</f>
        <v>22.2</v>
      </c>
      <c r="AM27" s="13">
        <f t="shared" si="6"/>
        <v>21.020000000000007</v>
      </c>
      <c r="AN27" s="62"/>
      <c r="AO27" s="143"/>
      <c r="AP27" s="13">
        <f t="shared" si="7"/>
        <v>21.020000000000007</v>
      </c>
      <c r="AQ27" s="62">
        <v>40</v>
      </c>
      <c r="AR27" s="143">
        <f>1.4+0.4+0.2+0.1+0.1+0.2+0.2+5.5</f>
        <v>8.1</v>
      </c>
      <c r="AS27" s="13">
        <f t="shared" si="8"/>
        <v>52.920000000000009</v>
      </c>
      <c r="AT27" s="62"/>
      <c r="AU27" s="143">
        <f>10+3+1.1</f>
        <v>14.1</v>
      </c>
      <c r="AV27" s="13">
        <f t="shared" si="9"/>
        <v>38.820000000000007</v>
      </c>
      <c r="AW27" s="62"/>
      <c r="AX27" s="143">
        <f>9.8+2+1.1+0.8</f>
        <v>13.700000000000001</v>
      </c>
      <c r="AY27" s="13">
        <f t="shared" si="10"/>
        <v>25.120000000000005</v>
      </c>
      <c r="AZ27" s="62"/>
      <c r="BA27" s="143"/>
      <c r="BB27" s="13">
        <f t="shared" si="11"/>
        <v>25.120000000000005</v>
      </c>
      <c r="BC27" s="62">
        <v>20</v>
      </c>
      <c r="BD27" s="143">
        <f>6.1+2.6+0.9+0.8+0.9+0.9+1.8</f>
        <v>14.000000000000002</v>
      </c>
      <c r="BE27" s="13">
        <f t="shared" si="12"/>
        <v>31.120000000000005</v>
      </c>
      <c r="BF27" s="62">
        <v>20</v>
      </c>
      <c r="BG27" s="143">
        <f>0.9+10+0.4+1.4+1.2+0.2</f>
        <v>14.1</v>
      </c>
      <c r="BH27" s="13">
        <f t="shared" si="13"/>
        <v>37.020000000000003</v>
      </c>
      <c r="BI27" s="62"/>
      <c r="BJ27" s="143">
        <v>3.9</v>
      </c>
      <c r="BK27" s="13">
        <f t="shared" si="14"/>
        <v>33.120000000000005</v>
      </c>
      <c r="BL27" s="62"/>
      <c r="BM27" s="143"/>
      <c r="BN27" s="13">
        <f t="shared" si="15"/>
        <v>33.120000000000005</v>
      </c>
      <c r="BO27" s="62"/>
      <c r="BP27" s="143">
        <v>3.1</v>
      </c>
      <c r="BQ27" s="13">
        <f t="shared" si="16"/>
        <v>30.020000000000003</v>
      </c>
      <c r="BR27" s="62">
        <v>40</v>
      </c>
      <c r="BS27" s="143">
        <f>5.8+1.2+1.4+3.9+0.7+1.2+1.6+5+1.3+2+1.4+5</f>
        <v>30.499999999999996</v>
      </c>
      <c r="BT27" s="13">
        <f t="shared" si="17"/>
        <v>39.52000000000001</v>
      </c>
      <c r="BU27" s="62"/>
      <c r="BV27" s="143"/>
      <c r="BW27" s="13">
        <f t="shared" si="18"/>
        <v>39.52000000000001</v>
      </c>
      <c r="BX27" s="175">
        <v>20</v>
      </c>
      <c r="BY27" s="143">
        <f>10+0.9+1.6+2.3+0.8+1.2+4</f>
        <v>20.8</v>
      </c>
      <c r="BZ27" s="13">
        <f t="shared" si="19"/>
        <v>38.720000000000013</v>
      </c>
      <c r="CA27" s="62">
        <v>20</v>
      </c>
      <c r="CB27" s="143">
        <f>6+1.3+0.9+1.5+0.8+0.8+1.2+2.6+1.2+1.3+0.8+1.4+0.8+3</f>
        <v>23.6</v>
      </c>
      <c r="CC27" s="13">
        <f t="shared" si="20"/>
        <v>35.120000000000012</v>
      </c>
      <c r="CD27" s="62"/>
      <c r="CE27" s="143"/>
      <c r="CF27" s="13">
        <f t="shared" si="21"/>
        <v>35.120000000000012</v>
      </c>
      <c r="CG27" s="62"/>
      <c r="CH27" s="143">
        <f>1.4+0.4+0.2+0.1+0.2</f>
        <v>2.2999999999999998</v>
      </c>
      <c r="CI27" s="13">
        <f t="shared" si="31"/>
        <v>32.820000000000014</v>
      </c>
      <c r="CJ27" s="62"/>
      <c r="CK27" s="143">
        <f>6+10+0.8+0.8</f>
        <v>17.600000000000001</v>
      </c>
      <c r="CL27" s="13">
        <f t="shared" si="32"/>
        <v>15.220000000000013</v>
      </c>
      <c r="CM27" s="62">
        <v>20</v>
      </c>
      <c r="CN27" s="143">
        <f>3.9+2.2+0.8+0.7+0.5+0.9+1.1+0.8+1.2+2.8+6</f>
        <v>20.9</v>
      </c>
      <c r="CO27" s="13">
        <f t="shared" si="22"/>
        <v>14.320000000000014</v>
      </c>
      <c r="CP27" s="62"/>
      <c r="CQ27" s="143"/>
      <c r="CR27" s="13">
        <f t="shared" si="33"/>
        <v>14.320000000000014</v>
      </c>
      <c r="CS27" s="61"/>
      <c r="CT27" s="143"/>
      <c r="CU27" s="14">
        <f t="shared" si="23"/>
        <v>14.320000000000014</v>
      </c>
      <c r="CV27" s="5">
        <f t="shared" si="24"/>
        <v>296</v>
      </c>
      <c r="CW27" s="4">
        <f t="shared" si="24"/>
        <v>301.20000000000005</v>
      </c>
      <c r="CX27" s="6">
        <f t="shared" si="25"/>
        <v>14.320000000000014</v>
      </c>
      <c r="CY27" s="162">
        <v>150</v>
      </c>
      <c r="CZ27" s="171">
        <f t="shared" si="26"/>
        <v>2148.0000000000023</v>
      </c>
      <c r="DB27" s="2">
        <f t="shared" si="34"/>
        <v>14.320000000000014</v>
      </c>
      <c r="DC27" s="61"/>
      <c r="DD27" s="143">
        <f>1.9+2.1+2.4+1.9+0.8+5.1</f>
        <v>14.200000000000001</v>
      </c>
      <c r="DE27" s="149">
        <f t="shared" si="35"/>
        <v>0.12000000000001343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8.2999999999999989</v>
      </c>
      <c r="G28" s="62"/>
      <c r="H28" s="143">
        <v>1</v>
      </c>
      <c r="I28" s="13">
        <f t="shared" si="0"/>
        <v>7.2999999999999989</v>
      </c>
      <c r="J28" s="62"/>
      <c r="K28" s="143"/>
      <c r="L28" s="13">
        <f t="shared" si="1"/>
        <v>7.2999999999999989</v>
      </c>
      <c r="M28" s="62"/>
      <c r="N28" s="143">
        <v>1</v>
      </c>
      <c r="O28" s="13">
        <f t="shared" si="2"/>
        <v>6.2999999999999989</v>
      </c>
      <c r="P28" s="62"/>
      <c r="Q28" s="143">
        <v>1</v>
      </c>
      <c r="R28" s="30">
        <f t="shared" si="3"/>
        <v>5.2999999999999989</v>
      </c>
      <c r="S28" s="62"/>
      <c r="T28" s="143"/>
      <c r="U28" s="13">
        <f t="shared" si="4"/>
        <v>5.2999999999999989</v>
      </c>
      <c r="V28" s="62"/>
      <c r="W28" s="143">
        <f>2+3.3</f>
        <v>5.3</v>
      </c>
      <c r="X28" s="13">
        <f t="shared" si="5"/>
        <v>0</v>
      </c>
      <c r="Y28" s="62">
        <v>20</v>
      </c>
      <c r="Z28" s="143">
        <f>1-1</f>
        <v>0</v>
      </c>
      <c r="AA28" s="13">
        <f t="shared" si="27"/>
        <v>20</v>
      </c>
      <c r="AB28" s="62"/>
      <c r="AC28" s="143"/>
      <c r="AD28" s="13">
        <f t="shared" si="28"/>
        <v>20</v>
      </c>
      <c r="AE28" s="62"/>
      <c r="AF28" s="143"/>
      <c r="AG28" s="13">
        <f t="shared" si="29"/>
        <v>20</v>
      </c>
      <c r="AH28" s="61"/>
      <c r="AI28" s="143"/>
      <c r="AJ28" s="13">
        <f t="shared" si="30"/>
        <v>20</v>
      </c>
      <c r="AK28" s="62"/>
      <c r="AL28" s="143">
        <v>2</v>
      </c>
      <c r="AM28" s="13">
        <f t="shared" si="6"/>
        <v>18</v>
      </c>
      <c r="AN28" s="62"/>
      <c r="AO28" s="143"/>
      <c r="AP28" s="13">
        <f t="shared" si="7"/>
        <v>18</v>
      </c>
      <c r="AQ28" s="62"/>
      <c r="AR28" s="143"/>
      <c r="AS28" s="13">
        <f t="shared" si="8"/>
        <v>18</v>
      </c>
      <c r="AT28" s="62"/>
      <c r="AU28" s="143"/>
      <c r="AV28" s="13">
        <f t="shared" si="9"/>
        <v>18</v>
      </c>
      <c r="AW28" s="62"/>
      <c r="AX28" s="143">
        <v>2</v>
      </c>
      <c r="AY28" s="13">
        <f t="shared" si="10"/>
        <v>16</v>
      </c>
      <c r="AZ28" s="62"/>
      <c r="BA28" s="143"/>
      <c r="BB28" s="13">
        <f t="shared" si="11"/>
        <v>16</v>
      </c>
      <c r="BC28" s="62"/>
      <c r="BD28" s="143">
        <v>1</v>
      </c>
      <c r="BE28" s="13">
        <f t="shared" si="12"/>
        <v>15</v>
      </c>
      <c r="BF28" s="62"/>
      <c r="BG28" s="143">
        <f>1</f>
        <v>1</v>
      </c>
      <c r="BH28" s="13">
        <f t="shared" si="13"/>
        <v>14</v>
      </c>
      <c r="BI28" s="62"/>
      <c r="BJ28" s="143"/>
      <c r="BK28" s="13">
        <f t="shared" si="14"/>
        <v>14</v>
      </c>
      <c r="BL28" s="62"/>
      <c r="BM28" s="143"/>
      <c r="BN28" s="13">
        <f t="shared" si="15"/>
        <v>14</v>
      </c>
      <c r="BO28" s="62"/>
      <c r="BP28" s="143">
        <f>3.5+0.5</f>
        <v>4</v>
      </c>
      <c r="BQ28" s="13">
        <f t="shared" si="16"/>
        <v>10</v>
      </c>
      <c r="BR28" s="62"/>
      <c r="BS28" s="143"/>
      <c r="BT28" s="13">
        <f t="shared" si="17"/>
        <v>10</v>
      </c>
      <c r="BU28" s="62"/>
      <c r="BV28" s="143"/>
      <c r="BW28" s="13">
        <f t="shared" si="18"/>
        <v>10</v>
      </c>
      <c r="BX28" s="175"/>
      <c r="BY28" s="143"/>
      <c r="BZ28" s="13">
        <f t="shared" si="19"/>
        <v>10</v>
      </c>
      <c r="CA28" s="62"/>
      <c r="CB28" s="143">
        <f>2</f>
        <v>2</v>
      </c>
      <c r="CC28" s="13">
        <f t="shared" si="20"/>
        <v>8</v>
      </c>
      <c r="CD28" s="62"/>
      <c r="CE28" s="143"/>
      <c r="CF28" s="13">
        <f t="shared" si="21"/>
        <v>8</v>
      </c>
      <c r="CG28" s="62"/>
      <c r="CH28" s="143">
        <v>1</v>
      </c>
      <c r="CI28" s="13">
        <f t="shared" si="31"/>
        <v>7</v>
      </c>
      <c r="CJ28" s="62"/>
      <c r="CK28" s="143">
        <v>1</v>
      </c>
      <c r="CL28" s="13">
        <f t="shared" si="32"/>
        <v>6</v>
      </c>
      <c r="CM28" s="62"/>
      <c r="CN28" s="143">
        <f>1+3+1</f>
        <v>5</v>
      </c>
      <c r="CO28" s="13">
        <f t="shared" si="22"/>
        <v>1</v>
      </c>
      <c r="CP28" s="62"/>
      <c r="CQ28" s="143"/>
      <c r="CR28" s="13">
        <f t="shared" si="33"/>
        <v>1</v>
      </c>
      <c r="CS28" s="61"/>
      <c r="CT28" s="143">
        <f>1</f>
        <v>1</v>
      </c>
      <c r="CU28" s="14">
        <f t="shared" si="23"/>
        <v>0</v>
      </c>
      <c r="CV28" s="5">
        <f t="shared" si="24"/>
        <v>20</v>
      </c>
      <c r="CW28" s="4">
        <f t="shared" si="24"/>
        <v>28.3</v>
      </c>
      <c r="CX28" s="6">
        <f t="shared" si="25"/>
        <v>0</v>
      </c>
      <c r="CY28" s="162">
        <v>100</v>
      </c>
      <c r="CZ28" s="171">
        <f t="shared" si="26"/>
        <v>0</v>
      </c>
      <c r="DB28" s="2">
        <f t="shared" si="34"/>
        <v>0</v>
      </c>
      <c r="DC28" s="61"/>
      <c r="DD28" s="143"/>
      <c r="DE28" s="149">
        <f t="shared" si="35"/>
        <v>0</v>
      </c>
    </row>
    <row r="29" spans="1:109" ht="15.75" customHeight="1">
      <c r="A29" s="33"/>
      <c r="B29" s="7" t="s">
        <v>70</v>
      </c>
      <c r="C29" s="105" t="s">
        <v>30</v>
      </c>
      <c r="D29" s="35" t="s">
        <v>280</v>
      </c>
      <c r="E29" s="35" t="s">
        <v>71</v>
      </c>
      <c r="F29" s="14">
        <v>19</v>
      </c>
      <c r="G29" s="62">
        <f>-180+30+190</f>
        <v>40</v>
      </c>
      <c r="H29" s="143">
        <f>9+10</f>
        <v>19</v>
      </c>
      <c r="I29" s="13">
        <f t="shared" si="0"/>
        <v>40</v>
      </c>
      <c r="J29" s="62"/>
      <c r="K29" s="143"/>
      <c r="L29" s="13">
        <f t="shared" si="1"/>
        <v>40</v>
      </c>
      <c r="M29" s="62">
        <f>-21+40+60</f>
        <v>79</v>
      </c>
      <c r="N29" s="143">
        <f>6+5+29+3</f>
        <v>43</v>
      </c>
      <c r="O29" s="13">
        <f t="shared" si="2"/>
        <v>76</v>
      </c>
      <c r="P29" s="62">
        <v>20</v>
      </c>
      <c r="Q29" s="143">
        <f>3+4+41+3</f>
        <v>51</v>
      </c>
      <c r="R29" s="30">
        <f t="shared" si="3"/>
        <v>45</v>
      </c>
      <c r="S29" s="62"/>
      <c r="T29" s="143"/>
      <c r="U29" s="13">
        <f t="shared" si="4"/>
        <v>45</v>
      </c>
      <c r="V29" s="62">
        <f>10+20</f>
        <v>30</v>
      </c>
      <c r="W29" s="143">
        <f>3+3+26</f>
        <v>32</v>
      </c>
      <c r="X29" s="13">
        <f t="shared" si="5"/>
        <v>43</v>
      </c>
      <c r="Y29" s="62">
        <f>-3+30+30</f>
        <v>57</v>
      </c>
      <c r="Z29" s="143">
        <f>3+4+36</f>
        <v>43</v>
      </c>
      <c r="AA29" s="13">
        <f t="shared" si="27"/>
        <v>57</v>
      </c>
      <c r="AB29" s="62">
        <f>-46+90</f>
        <v>44</v>
      </c>
      <c r="AC29" s="143">
        <f>7+10+40</f>
        <v>57</v>
      </c>
      <c r="AD29" s="13">
        <f t="shared" si="28"/>
        <v>44</v>
      </c>
      <c r="AE29" s="62"/>
      <c r="AF29" s="143"/>
      <c r="AG29" s="13">
        <f>AD29+AE29-AF29</f>
        <v>44</v>
      </c>
      <c r="AH29" s="61">
        <f>-40-12+30+90</f>
        <v>68</v>
      </c>
      <c r="AI29" s="143">
        <f>6+38+3+2</f>
        <v>49</v>
      </c>
      <c r="AJ29" s="13">
        <f t="shared" si="30"/>
        <v>63</v>
      </c>
      <c r="AK29" s="62">
        <f>-32+10+70</f>
        <v>48</v>
      </c>
      <c r="AL29" s="143">
        <f>6+57</f>
        <v>63</v>
      </c>
      <c r="AM29" s="13">
        <f t="shared" si="6"/>
        <v>48</v>
      </c>
      <c r="AN29" s="62"/>
      <c r="AO29" s="143"/>
      <c r="AP29" s="13">
        <f t="shared" si="7"/>
        <v>48</v>
      </c>
      <c r="AQ29" s="62">
        <v>50</v>
      </c>
      <c r="AR29" s="143">
        <f>2+2+44</f>
        <v>48</v>
      </c>
      <c r="AS29" s="13">
        <f t="shared" si="8"/>
        <v>50</v>
      </c>
      <c r="AT29" s="62">
        <f>-18+20+80</f>
        <v>82</v>
      </c>
      <c r="AU29" s="143">
        <f>4+6+40</f>
        <v>50</v>
      </c>
      <c r="AV29" s="13">
        <f t="shared" si="9"/>
        <v>82</v>
      </c>
      <c r="AW29" s="62">
        <f>-82+50+70</f>
        <v>38</v>
      </c>
      <c r="AX29" s="143">
        <f>5+10+67</f>
        <v>82</v>
      </c>
      <c r="AY29" s="13">
        <f t="shared" si="10"/>
        <v>38</v>
      </c>
      <c r="AZ29" s="62"/>
      <c r="BA29" s="143"/>
      <c r="BB29" s="13">
        <f t="shared" si="11"/>
        <v>38</v>
      </c>
      <c r="BC29" s="62">
        <f>30+30</f>
        <v>60</v>
      </c>
      <c r="BD29" s="143">
        <f>3+7+33+4+4+4</f>
        <v>55</v>
      </c>
      <c r="BE29" s="13">
        <f t="shared" si="12"/>
        <v>43</v>
      </c>
      <c r="BF29" s="62">
        <f>-73+100+20-70+50+40+40</f>
        <v>107</v>
      </c>
      <c r="BG29" s="143">
        <f>8+8+27</f>
        <v>43</v>
      </c>
      <c r="BH29" s="13">
        <f t="shared" si="13"/>
        <v>107</v>
      </c>
      <c r="BI29" s="62"/>
      <c r="BJ29" s="143"/>
      <c r="BK29" s="13">
        <f t="shared" si="14"/>
        <v>107</v>
      </c>
      <c r="BL29" s="62"/>
      <c r="BM29" s="143">
        <f>48+4+20</f>
        <v>72</v>
      </c>
      <c r="BN29" s="13">
        <f t="shared" si="15"/>
        <v>35</v>
      </c>
      <c r="BO29" s="62">
        <f>-30+50+50</f>
        <v>70</v>
      </c>
      <c r="BP29" s="143">
        <f>6+2+27</f>
        <v>35</v>
      </c>
      <c r="BQ29" s="13">
        <f t="shared" si="16"/>
        <v>70</v>
      </c>
      <c r="BR29" s="62">
        <f>-82+50+30+50</f>
        <v>48</v>
      </c>
      <c r="BS29" s="143">
        <f>3+7+60+2</f>
        <v>72</v>
      </c>
      <c r="BT29" s="13">
        <f t="shared" si="17"/>
        <v>46</v>
      </c>
      <c r="BU29" s="62"/>
      <c r="BV29" s="143"/>
      <c r="BW29" s="13">
        <f t="shared" si="18"/>
        <v>46</v>
      </c>
      <c r="BX29" s="175">
        <f>-9+100</f>
        <v>91</v>
      </c>
      <c r="BY29" s="143">
        <f>8+38+6+8+2</f>
        <v>62</v>
      </c>
      <c r="BZ29" s="13">
        <f t="shared" si="19"/>
        <v>75</v>
      </c>
      <c r="CA29" s="62">
        <f>-2+60+10</f>
        <v>68</v>
      </c>
      <c r="CB29" s="143">
        <f>2+5+68+2</f>
        <v>77</v>
      </c>
      <c r="CC29" s="13">
        <f t="shared" si="20"/>
        <v>66</v>
      </c>
      <c r="CD29" s="62"/>
      <c r="CE29" s="143">
        <f>2</f>
        <v>2</v>
      </c>
      <c r="CF29" s="13">
        <f t="shared" si="21"/>
        <v>64</v>
      </c>
      <c r="CG29" s="62">
        <f>-8+20+40</f>
        <v>52</v>
      </c>
      <c r="CH29" s="143">
        <f>4+60</f>
        <v>64</v>
      </c>
      <c r="CI29" s="13">
        <f t="shared" si="31"/>
        <v>52</v>
      </c>
      <c r="CJ29" s="62">
        <v>70</v>
      </c>
      <c r="CK29" s="143">
        <f>3+44+5</f>
        <v>52</v>
      </c>
      <c r="CL29" s="13">
        <f t="shared" si="32"/>
        <v>70</v>
      </c>
      <c r="CM29" s="62">
        <f>-54+50+20+30</f>
        <v>46</v>
      </c>
      <c r="CN29" s="143">
        <f>8+4+58</f>
        <v>70</v>
      </c>
      <c r="CO29" s="13">
        <f t="shared" si="22"/>
        <v>46</v>
      </c>
      <c r="CP29" s="62"/>
      <c r="CQ29" s="143"/>
      <c r="CR29" s="13">
        <f t="shared" si="33"/>
        <v>46</v>
      </c>
      <c r="CS29" s="61">
        <f>-2+30</f>
        <v>28</v>
      </c>
      <c r="CT29" s="143">
        <f>3+5+38</f>
        <v>46</v>
      </c>
      <c r="CU29" s="14">
        <f t="shared" si="23"/>
        <v>28</v>
      </c>
      <c r="CV29" s="5">
        <f t="shared" si="24"/>
        <v>1196</v>
      </c>
      <c r="CW29" s="4">
        <f t="shared" si="24"/>
        <v>1187</v>
      </c>
      <c r="CX29" s="6">
        <f t="shared" si="25"/>
        <v>28</v>
      </c>
      <c r="CY29" s="162">
        <v>100</v>
      </c>
      <c r="CZ29" s="171">
        <f t="shared" si="26"/>
        <v>2800</v>
      </c>
      <c r="DB29" s="2">
        <f t="shared" si="34"/>
        <v>28</v>
      </c>
      <c r="DC29" s="61"/>
      <c r="DD29" s="143"/>
      <c r="DE29" s="149">
        <f t="shared" si="35"/>
        <v>28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1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175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1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1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175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1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34</v>
      </c>
      <c r="G32" s="62">
        <f>-98+168</f>
        <v>70</v>
      </c>
      <c r="H32" s="143">
        <f>20+14+7</f>
        <v>41</v>
      </c>
      <c r="I32" s="13">
        <f t="shared" si="0"/>
        <v>63</v>
      </c>
      <c r="J32" s="62"/>
      <c r="K32" s="143"/>
      <c r="L32" s="13">
        <f t="shared" si="1"/>
        <v>63</v>
      </c>
      <c r="M32" s="62">
        <f>+-1+72</f>
        <v>71</v>
      </c>
      <c r="N32" s="143">
        <f>12+51</f>
        <v>63</v>
      </c>
      <c r="O32" s="13">
        <f t="shared" si="2"/>
        <v>71</v>
      </c>
      <c r="P32" s="62">
        <v>48</v>
      </c>
      <c r="Q32" s="143">
        <f>61+10</f>
        <v>71</v>
      </c>
      <c r="R32" s="30">
        <f t="shared" si="3"/>
        <v>48</v>
      </c>
      <c r="S32" s="62"/>
      <c r="T32" s="143"/>
      <c r="U32" s="13">
        <f t="shared" si="4"/>
        <v>48</v>
      </c>
      <c r="V32" s="62">
        <v>24</v>
      </c>
      <c r="W32" s="143">
        <f>6+24+2</f>
        <v>32</v>
      </c>
      <c r="X32" s="13">
        <f t="shared" si="5"/>
        <v>40</v>
      </c>
      <c r="Y32" s="62">
        <f>-18+72</f>
        <v>54</v>
      </c>
      <c r="Z32" s="143">
        <v>40</v>
      </c>
      <c r="AA32" s="13">
        <f t="shared" si="27"/>
        <v>54</v>
      </c>
      <c r="AB32" s="62">
        <f>-19+72</f>
        <v>53</v>
      </c>
      <c r="AC32" s="143">
        <f>6+48+5</f>
        <v>59</v>
      </c>
      <c r="AD32" s="13">
        <f t="shared" si="28"/>
        <v>48</v>
      </c>
      <c r="AE32" s="62"/>
      <c r="AF32" s="143"/>
      <c r="AG32" s="13">
        <f t="shared" si="29"/>
        <v>48</v>
      </c>
      <c r="AH32" s="61">
        <f>-36+96</f>
        <v>60</v>
      </c>
      <c r="AI32" s="143">
        <f>8+40+7</f>
        <v>55</v>
      </c>
      <c r="AJ32" s="13">
        <f t="shared" si="30"/>
        <v>53</v>
      </c>
      <c r="AK32" s="62">
        <f>-32+96</f>
        <v>64</v>
      </c>
      <c r="AL32" s="143">
        <f>10+43+7</f>
        <v>60</v>
      </c>
      <c r="AM32" s="13">
        <f t="shared" si="6"/>
        <v>57</v>
      </c>
      <c r="AN32" s="62"/>
      <c r="AO32" s="143"/>
      <c r="AP32" s="13">
        <f t="shared" si="7"/>
        <v>57</v>
      </c>
      <c r="AQ32" s="62">
        <v>48</v>
      </c>
      <c r="AR32" s="143">
        <f>12+36</f>
        <v>48</v>
      </c>
      <c r="AS32" s="13">
        <f t="shared" si="8"/>
        <v>57</v>
      </c>
      <c r="AT32" s="62">
        <v>96</v>
      </c>
      <c r="AU32" s="143">
        <f>6+41+5</f>
        <v>52</v>
      </c>
      <c r="AV32" s="13">
        <f t="shared" si="9"/>
        <v>101</v>
      </c>
      <c r="AW32" s="62">
        <f>-13+72</f>
        <v>59</v>
      </c>
      <c r="AX32" s="143">
        <f>10+2+89</f>
        <v>101</v>
      </c>
      <c r="AY32" s="13">
        <f t="shared" si="10"/>
        <v>59</v>
      </c>
      <c r="AZ32" s="62"/>
      <c r="BA32" s="143"/>
      <c r="BB32" s="13">
        <f t="shared" si="11"/>
        <v>59</v>
      </c>
      <c r="BC32" s="62">
        <v>72</v>
      </c>
      <c r="BD32" s="143">
        <f>6+45+6</f>
        <v>57</v>
      </c>
      <c r="BE32" s="13">
        <f t="shared" si="12"/>
        <v>74</v>
      </c>
      <c r="BF32" s="62">
        <f>-8+96-1</f>
        <v>87</v>
      </c>
      <c r="BG32" s="143">
        <f>10+64</f>
        <v>74</v>
      </c>
      <c r="BH32" s="13">
        <f t="shared" si="13"/>
        <v>87</v>
      </c>
      <c r="BI32" s="62"/>
      <c r="BJ32" s="143"/>
      <c r="BK32" s="13">
        <f t="shared" si="14"/>
        <v>87</v>
      </c>
      <c r="BL32" s="62"/>
      <c r="BM32" s="143">
        <f>28+24</f>
        <v>52</v>
      </c>
      <c r="BN32" s="13">
        <f t="shared" si="15"/>
        <v>35</v>
      </c>
      <c r="BO32" s="62">
        <f>-43+120</f>
        <v>77</v>
      </c>
      <c r="BP32" s="143">
        <f>6+29</f>
        <v>35</v>
      </c>
      <c r="BQ32" s="13">
        <f t="shared" si="16"/>
        <v>77</v>
      </c>
      <c r="BR32" s="62">
        <f>-33+24+72</f>
        <v>63</v>
      </c>
      <c r="BS32" s="143">
        <f>6+71+6+4</f>
        <v>87</v>
      </c>
      <c r="BT32" s="13">
        <f t="shared" si="17"/>
        <v>53</v>
      </c>
      <c r="BU32" s="62"/>
      <c r="BV32" s="143"/>
      <c r="BW32" s="13">
        <f t="shared" si="18"/>
        <v>53</v>
      </c>
      <c r="BX32" s="175">
        <f>-1+48+48</f>
        <v>95</v>
      </c>
      <c r="BY32" s="143">
        <f>53+7</f>
        <v>60</v>
      </c>
      <c r="BZ32" s="13">
        <f t="shared" si="19"/>
        <v>88</v>
      </c>
      <c r="CA32" s="62">
        <v>48</v>
      </c>
      <c r="CB32" s="143">
        <f>61+7</f>
        <v>68</v>
      </c>
      <c r="CC32" s="13">
        <f t="shared" si="20"/>
        <v>68</v>
      </c>
      <c r="CD32" s="62"/>
      <c r="CE32" s="143"/>
      <c r="CF32" s="13">
        <f t="shared" si="21"/>
        <v>68</v>
      </c>
      <c r="CG32" s="62">
        <v>24</v>
      </c>
      <c r="CH32" s="143">
        <f>2+39+3</f>
        <v>44</v>
      </c>
      <c r="CI32" s="13">
        <f t="shared" si="31"/>
        <v>48</v>
      </c>
      <c r="CJ32" s="62">
        <v>24</v>
      </c>
      <c r="CK32" s="143">
        <f>36</f>
        <v>36</v>
      </c>
      <c r="CL32" s="13">
        <f t="shared" si="32"/>
        <v>36</v>
      </c>
      <c r="CM32" s="62">
        <f>-73+96</f>
        <v>23</v>
      </c>
      <c r="CN32" s="143">
        <v>36</v>
      </c>
      <c r="CO32" s="13">
        <f t="shared" si="22"/>
        <v>23</v>
      </c>
      <c r="CP32" s="62"/>
      <c r="CQ32" s="143"/>
      <c r="CR32" s="13">
        <f t="shared" si="33"/>
        <v>23</v>
      </c>
      <c r="CS32" s="61">
        <f>-39+48</f>
        <v>9</v>
      </c>
      <c r="CT32" s="143">
        <v>23</v>
      </c>
      <c r="CU32" s="14">
        <f t="shared" si="23"/>
        <v>9</v>
      </c>
      <c r="CV32" s="5">
        <f t="shared" si="24"/>
        <v>1169</v>
      </c>
      <c r="CW32" s="4">
        <f t="shared" si="24"/>
        <v>1194</v>
      </c>
      <c r="CX32" s="6">
        <f t="shared" si="25"/>
        <v>9</v>
      </c>
      <c r="CY32" s="162">
        <v>84</v>
      </c>
      <c r="CZ32" s="171">
        <f t="shared" si="26"/>
        <v>756</v>
      </c>
      <c r="DB32" s="2">
        <f t="shared" si="34"/>
        <v>9</v>
      </c>
      <c r="DC32" s="61"/>
      <c r="DD32" s="143"/>
      <c r="DE32" s="149">
        <f t="shared" si="35"/>
        <v>9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1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175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1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1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175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1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2</v>
      </c>
      <c r="G35" s="62">
        <f>-11+18</f>
        <v>7</v>
      </c>
      <c r="H35" s="143">
        <v>2</v>
      </c>
      <c r="I35" s="13">
        <f t="shared" si="0"/>
        <v>7</v>
      </c>
      <c r="J35" s="62"/>
      <c r="K35" s="143"/>
      <c r="L35" s="13">
        <f>I35+J35-K35</f>
        <v>7</v>
      </c>
      <c r="M35" s="62">
        <f>2+2</f>
        <v>4</v>
      </c>
      <c r="N35" s="143">
        <v>7</v>
      </c>
      <c r="O35" s="13">
        <f t="shared" si="2"/>
        <v>4</v>
      </c>
      <c r="P35" s="62">
        <v>8</v>
      </c>
      <c r="Q35" s="143">
        <v>4</v>
      </c>
      <c r="R35" s="30">
        <f t="shared" si="3"/>
        <v>8</v>
      </c>
      <c r="S35" s="62"/>
      <c r="T35" s="143"/>
      <c r="U35" s="13">
        <f t="shared" si="4"/>
        <v>8</v>
      </c>
      <c r="V35" s="62">
        <f>-1+3</f>
        <v>2</v>
      </c>
      <c r="W35" s="143">
        <v>8</v>
      </c>
      <c r="X35" s="13">
        <f t="shared" si="5"/>
        <v>2</v>
      </c>
      <c r="Y35" s="62">
        <v>13</v>
      </c>
      <c r="Z35" s="143">
        <f>-2+2+2</f>
        <v>2</v>
      </c>
      <c r="AA35" s="13">
        <f t="shared" si="27"/>
        <v>13</v>
      </c>
      <c r="AB35" s="62">
        <v>6</v>
      </c>
      <c r="AC35" s="143">
        <f>13</f>
        <v>13</v>
      </c>
      <c r="AD35" s="13">
        <f t="shared" si="28"/>
        <v>6</v>
      </c>
      <c r="AE35" s="62"/>
      <c r="AF35" s="143"/>
      <c r="AG35" s="13">
        <f t="shared" si="29"/>
        <v>6</v>
      </c>
      <c r="AH35" s="61">
        <v>2</v>
      </c>
      <c r="AI35" s="143">
        <v>4</v>
      </c>
      <c r="AJ35" s="13">
        <f t="shared" si="30"/>
        <v>4</v>
      </c>
      <c r="AK35" s="62">
        <v>7</v>
      </c>
      <c r="AL35" s="143">
        <f>3+1</f>
        <v>4</v>
      </c>
      <c r="AM35" s="13">
        <f t="shared" si="6"/>
        <v>7</v>
      </c>
      <c r="AN35" s="62"/>
      <c r="AO35" s="143"/>
      <c r="AP35" s="13">
        <f t="shared" si="7"/>
        <v>7</v>
      </c>
      <c r="AQ35" s="62"/>
      <c r="AR35" s="143">
        <v>2</v>
      </c>
      <c r="AS35" s="13">
        <f t="shared" si="8"/>
        <v>5</v>
      </c>
      <c r="AT35" s="62"/>
      <c r="AU35" s="143">
        <v>2</v>
      </c>
      <c r="AV35" s="13">
        <f t="shared" si="9"/>
        <v>3</v>
      </c>
      <c r="AW35" s="62">
        <v>4</v>
      </c>
      <c r="AX35" s="143">
        <v>3</v>
      </c>
      <c r="AY35" s="13">
        <f t="shared" si="10"/>
        <v>4</v>
      </c>
      <c r="AZ35" s="62"/>
      <c r="BA35" s="143"/>
      <c r="BB35" s="13">
        <f t="shared" si="11"/>
        <v>4</v>
      </c>
      <c r="BC35" s="62">
        <v>2</v>
      </c>
      <c r="BD35" s="143">
        <v>4</v>
      </c>
      <c r="BE35" s="13">
        <f t="shared" si="12"/>
        <v>2</v>
      </c>
      <c r="BF35" s="62">
        <f>8+2</f>
        <v>10</v>
      </c>
      <c r="BG35" s="143">
        <f>2+2</f>
        <v>4</v>
      </c>
      <c r="BH35" s="13">
        <f t="shared" si="13"/>
        <v>8</v>
      </c>
      <c r="BI35" s="62"/>
      <c r="BJ35" s="143"/>
      <c r="BK35" s="13">
        <f t="shared" si="14"/>
        <v>8</v>
      </c>
      <c r="BL35" s="62"/>
      <c r="BM35" s="143">
        <v>3</v>
      </c>
      <c r="BN35" s="13">
        <f t="shared" si="15"/>
        <v>5</v>
      </c>
      <c r="BO35" s="62"/>
      <c r="BP35" s="143">
        <v>3</v>
      </c>
      <c r="BQ35" s="13">
        <f t="shared" si="16"/>
        <v>2</v>
      </c>
      <c r="BR35" s="62">
        <v>3</v>
      </c>
      <c r="BS35" s="143">
        <v>2</v>
      </c>
      <c r="BT35" s="13">
        <f t="shared" si="17"/>
        <v>3</v>
      </c>
      <c r="BU35" s="62"/>
      <c r="BV35" s="143"/>
      <c r="BW35" s="13">
        <f t="shared" si="18"/>
        <v>3</v>
      </c>
      <c r="BX35" s="175">
        <f>-1+4</f>
        <v>3</v>
      </c>
      <c r="BY35" s="143">
        <v>3</v>
      </c>
      <c r="BZ35" s="13">
        <f t="shared" si="19"/>
        <v>3</v>
      </c>
      <c r="CA35" s="62">
        <f>-1+4+2</f>
        <v>5</v>
      </c>
      <c r="CB35" s="143">
        <f>3+3</f>
        <v>6</v>
      </c>
      <c r="CC35" s="13">
        <f t="shared" si="20"/>
        <v>2</v>
      </c>
      <c r="CD35" s="62"/>
      <c r="CE35" s="143"/>
      <c r="CF35" s="13">
        <f t="shared" si="21"/>
        <v>2</v>
      </c>
      <c r="CG35" s="62">
        <v>1</v>
      </c>
      <c r="CH35" s="143">
        <v>2</v>
      </c>
      <c r="CI35" s="13">
        <f t="shared" si="31"/>
        <v>1</v>
      </c>
      <c r="CJ35" s="62">
        <v>3</v>
      </c>
      <c r="CK35" s="143">
        <v>1</v>
      </c>
      <c r="CL35" s="13">
        <f t="shared" si="32"/>
        <v>3</v>
      </c>
      <c r="CM35" s="62">
        <v>1</v>
      </c>
      <c r="CN35" s="143">
        <v>3</v>
      </c>
      <c r="CO35" s="13">
        <f t="shared" si="22"/>
        <v>1</v>
      </c>
      <c r="CP35" s="62"/>
      <c r="CQ35" s="143"/>
      <c r="CR35" s="13">
        <f t="shared" si="33"/>
        <v>1</v>
      </c>
      <c r="CS35" s="61">
        <f>-2+3</f>
        <v>1</v>
      </c>
      <c r="CT35" s="143">
        <v>1</v>
      </c>
      <c r="CU35" s="14">
        <f t="shared" si="23"/>
        <v>1</v>
      </c>
      <c r="CV35" s="5">
        <f t="shared" si="24"/>
        <v>82</v>
      </c>
      <c r="CW35" s="4">
        <f t="shared" si="24"/>
        <v>83</v>
      </c>
      <c r="CX35" s="6">
        <f t="shared" si="25"/>
        <v>1</v>
      </c>
      <c r="CY35" s="162">
        <v>450</v>
      </c>
      <c r="CZ35" s="171">
        <f t="shared" si="26"/>
        <v>450</v>
      </c>
      <c r="DB35" s="2">
        <f t="shared" si="34"/>
        <v>1</v>
      </c>
      <c r="DC35" s="61"/>
      <c r="DD35" s="143"/>
      <c r="DE35" s="149">
        <f t="shared" si="35"/>
        <v>1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6</v>
      </c>
      <c r="G36" s="62">
        <v>10</v>
      </c>
      <c r="H36" s="143">
        <v>6</v>
      </c>
      <c r="I36" s="13">
        <f t="shared" si="0"/>
        <v>10</v>
      </c>
      <c r="J36" s="62"/>
      <c r="K36" s="143"/>
      <c r="L36" s="13">
        <f t="shared" si="1"/>
        <v>10</v>
      </c>
      <c r="M36" s="62">
        <v>6</v>
      </c>
      <c r="N36" s="143">
        <f>8+1</f>
        <v>9</v>
      </c>
      <c r="O36" s="13">
        <f t="shared" si="2"/>
        <v>7</v>
      </c>
      <c r="P36" s="62">
        <v>6</v>
      </c>
      <c r="Q36" s="143">
        <f>4+1</f>
        <v>5</v>
      </c>
      <c r="R36" s="30">
        <f t="shared" si="3"/>
        <v>8</v>
      </c>
      <c r="S36" s="62"/>
      <c r="T36" s="143"/>
      <c r="U36" s="13">
        <f t="shared" si="4"/>
        <v>8</v>
      </c>
      <c r="V36" s="62">
        <f>6</f>
        <v>6</v>
      </c>
      <c r="W36" s="143">
        <v>7</v>
      </c>
      <c r="X36" s="13">
        <f t="shared" si="5"/>
        <v>7</v>
      </c>
      <c r="Y36" s="62">
        <v>6</v>
      </c>
      <c r="Z36" s="143">
        <v>4</v>
      </c>
      <c r="AA36" s="13">
        <f t="shared" si="27"/>
        <v>9</v>
      </c>
      <c r="AB36" s="62">
        <v>6</v>
      </c>
      <c r="AC36" s="143">
        <f>5</f>
        <v>5</v>
      </c>
      <c r="AD36" s="13">
        <f t="shared" si="28"/>
        <v>10</v>
      </c>
      <c r="AE36" s="62"/>
      <c r="AF36" s="143"/>
      <c r="AG36" s="13">
        <f t="shared" si="29"/>
        <v>10</v>
      </c>
      <c r="AH36" s="61">
        <v>6</v>
      </c>
      <c r="AI36" s="143">
        <f>5+1</f>
        <v>6</v>
      </c>
      <c r="AJ36" s="13">
        <f t="shared" si="30"/>
        <v>10</v>
      </c>
      <c r="AK36" s="62">
        <v>6</v>
      </c>
      <c r="AL36" s="143">
        <v>6</v>
      </c>
      <c r="AM36" s="13">
        <f t="shared" si="6"/>
        <v>10</v>
      </c>
      <c r="AN36" s="62"/>
      <c r="AO36" s="143"/>
      <c r="AP36" s="13">
        <f t="shared" si="7"/>
        <v>10</v>
      </c>
      <c r="AQ36" s="62">
        <v>6</v>
      </c>
      <c r="AR36" s="143">
        <f>5+1</f>
        <v>6</v>
      </c>
      <c r="AS36" s="13">
        <f t="shared" si="8"/>
        <v>10</v>
      </c>
      <c r="AT36" s="62">
        <v>6</v>
      </c>
      <c r="AU36" s="143">
        <v>6</v>
      </c>
      <c r="AV36" s="13">
        <f t="shared" si="9"/>
        <v>10</v>
      </c>
      <c r="AW36" s="62">
        <v>6</v>
      </c>
      <c r="AX36" s="143">
        <v>7</v>
      </c>
      <c r="AY36" s="13">
        <f t="shared" si="10"/>
        <v>9</v>
      </c>
      <c r="AZ36" s="62"/>
      <c r="BA36" s="143"/>
      <c r="BB36" s="13">
        <f t="shared" si="11"/>
        <v>9</v>
      </c>
      <c r="BC36" s="62">
        <f>6</f>
        <v>6</v>
      </c>
      <c r="BD36" s="143">
        <f>6+1</f>
        <v>7</v>
      </c>
      <c r="BE36" s="13">
        <f t="shared" si="12"/>
        <v>8</v>
      </c>
      <c r="BF36" s="62">
        <f>6-1+8</f>
        <v>13</v>
      </c>
      <c r="BG36" s="143">
        <v>8</v>
      </c>
      <c r="BH36" s="13">
        <f t="shared" si="13"/>
        <v>13</v>
      </c>
      <c r="BI36" s="62">
        <v>5</v>
      </c>
      <c r="BJ36" s="143">
        <v>8</v>
      </c>
      <c r="BK36" s="13">
        <f t="shared" si="14"/>
        <v>10</v>
      </c>
      <c r="BL36" s="62"/>
      <c r="BM36" s="143">
        <v>4</v>
      </c>
      <c r="BN36" s="13">
        <f t="shared" si="15"/>
        <v>6</v>
      </c>
      <c r="BO36" s="62">
        <v>6</v>
      </c>
      <c r="BP36" s="143">
        <v>3</v>
      </c>
      <c r="BQ36" s="13">
        <f t="shared" si="16"/>
        <v>9</v>
      </c>
      <c r="BR36" s="62">
        <f>-2+2+6</f>
        <v>6</v>
      </c>
      <c r="BS36" s="143">
        <v>9</v>
      </c>
      <c r="BT36" s="13">
        <f t="shared" si="17"/>
        <v>6</v>
      </c>
      <c r="BU36" s="62"/>
      <c r="BV36" s="143"/>
      <c r="BW36" s="13">
        <f t="shared" si="18"/>
        <v>6</v>
      </c>
      <c r="BX36" s="175">
        <v>6</v>
      </c>
      <c r="BY36" s="143">
        <v>5</v>
      </c>
      <c r="BZ36" s="13">
        <f t="shared" si="19"/>
        <v>7</v>
      </c>
      <c r="CA36" s="62">
        <v>14</v>
      </c>
      <c r="CB36" s="143">
        <f>7+5+2</f>
        <v>14</v>
      </c>
      <c r="CC36" s="13">
        <f t="shared" si="20"/>
        <v>7</v>
      </c>
      <c r="CD36" s="62"/>
      <c r="CE36" s="143"/>
      <c r="CF36" s="13">
        <f t="shared" si="21"/>
        <v>7</v>
      </c>
      <c r="CG36" s="62">
        <f>-1+6+1</f>
        <v>6</v>
      </c>
      <c r="CH36" s="143">
        <v>7</v>
      </c>
      <c r="CI36" s="13">
        <f t="shared" si="31"/>
        <v>6</v>
      </c>
      <c r="CJ36" s="62">
        <v>6</v>
      </c>
      <c r="CK36" s="143">
        <v>3</v>
      </c>
      <c r="CL36" s="13">
        <f t="shared" si="32"/>
        <v>9</v>
      </c>
      <c r="CM36" s="62">
        <v>6</v>
      </c>
      <c r="CN36" s="143">
        <v>5</v>
      </c>
      <c r="CO36" s="13">
        <f t="shared" si="22"/>
        <v>10</v>
      </c>
      <c r="CP36" s="62"/>
      <c r="CQ36" s="143"/>
      <c r="CR36" s="13">
        <f t="shared" si="33"/>
        <v>10</v>
      </c>
      <c r="CS36" s="61">
        <v>1</v>
      </c>
      <c r="CT36" s="143">
        <v>7</v>
      </c>
      <c r="CU36" s="14">
        <f t="shared" si="23"/>
        <v>4</v>
      </c>
      <c r="CV36" s="5">
        <f t="shared" si="24"/>
        <v>145</v>
      </c>
      <c r="CW36" s="4">
        <f t="shared" si="24"/>
        <v>147</v>
      </c>
      <c r="CX36" s="6">
        <f t="shared" si="25"/>
        <v>4</v>
      </c>
      <c r="CY36" s="162">
        <v>2000</v>
      </c>
      <c r="CZ36" s="171">
        <f t="shared" si="26"/>
        <v>8000</v>
      </c>
      <c r="DB36" s="2">
        <f t="shared" si="34"/>
        <v>4</v>
      </c>
      <c r="DC36" s="61"/>
      <c r="DD36" s="143"/>
      <c r="DE36" s="149">
        <f t="shared" si="35"/>
        <v>4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1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175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1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1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175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7</v>
      </c>
      <c r="G39" s="62">
        <f>-6+20</f>
        <v>14</v>
      </c>
      <c r="H39" s="143">
        <f>1+6</f>
        <v>7</v>
      </c>
      <c r="I39" s="13">
        <f t="shared" si="0"/>
        <v>14</v>
      </c>
      <c r="J39" s="62"/>
      <c r="K39" s="143"/>
      <c r="L39" s="13">
        <f t="shared" si="1"/>
        <v>14</v>
      </c>
      <c r="M39" s="62">
        <v>10</v>
      </c>
      <c r="N39" s="143">
        <f>1+4</f>
        <v>5</v>
      </c>
      <c r="O39" s="13">
        <f t="shared" si="2"/>
        <v>19</v>
      </c>
      <c r="P39" s="62">
        <v>20</v>
      </c>
      <c r="Q39" s="143">
        <f>2+15+3</f>
        <v>20</v>
      </c>
      <c r="R39" s="30">
        <f t="shared" si="3"/>
        <v>19</v>
      </c>
      <c r="S39" s="62"/>
      <c r="T39" s="143"/>
      <c r="U39" s="13">
        <f t="shared" si="4"/>
        <v>19</v>
      </c>
      <c r="V39" s="62"/>
      <c r="W39" s="143">
        <f>2</f>
        <v>2</v>
      </c>
      <c r="X39" s="13">
        <f t="shared" si="5"/>
        <v>17</v>
      </c>
      <c r="Y39" s="62">
        <v>10</v>
      </c>
      <c r="Z39" s="143">
        <v>7</v>
      </c>
      <c r="AA39" s="13">
        <f t="shared" si="27"/>
        <v>20</v>
      </c>
      <c r="AB39" s="62"/>
      <c r="AC39" s="143">
        <f>3+9</f>
        <v>12</v>
      </c>
      <c r="AD39" s="13">
        <f t="shared" si="28"/>
        <v>8</v>
      </c>
      <c r="AE39" s="62"/>
      <c r="AF39" s="143"/>
      <c r="AG39" s="13">
        <f t="shared" si="29"/>
        <v>8</v>
      </c>
      <c r="AH39" s="61">
        <f>10-10</f>
        <v>0</v>
      </c>
      <c r="AI39" s="143">
        <f>4+3</f>
        <v>7</v>
      </c>
      <c r="AJ39" s="13">
        <f t="shared" si="30"/>
        <v>1</v>
      </c>
      <c r="AK39" s="62">
        <f>10+10+10</f>
        <v>30</v>
      </c>
      <c r="AL39" s="143">
        <f>1+5+5</f>
        <v>11</v>
      </c>
      <c r="AM39" s="13">
        <f t="shared" si="6"/>
        <v>20</v>
      </c>
      <c r="AN39" s="62"/>
      <c r="AO39" s="143"/>
      <c r="AP39" s="13">
        <f t="shared" si="7"/>
        <v>20</v>
      </c>
      <c r="AQ39" s="62"/>
      <c r="AR39" s="143"/>
      <c r="AS39" s="13">
        <f t="shared" si="8"/>
        <v>20</v>
      </c>
      <c r="AT39" s="62"/>
      <c r="AU39" s="143">
        <f>1</f>
        <v>1</v>
      </c>
      <c r="AV39" s="13">
        <f t="shared" si="9"/>
        <v>19</v>
      </c>
      <c r="AW39" s="62"/>
      <c r="AX39" s="143">
        <f>2+3+3</f>
        <v>8</v>
      </c>
      <c r="AY39" s="13">
        <f t="shared" si="10"/>
        <v>11</v>
      </c>
      <c r="AZ39" s="62"/>
      <c r="BA39" s="143"/>
      <c r="BB39" s="13">
        <f t="shared" si="11"/>
        <v>11</v>
      </c>
      <c r="BC39" s="62">
        <v>10</v>
      </c>
      <c r="BD39" s="143">
        <v>7</v>
      </c>
      <c r="BE39" s="13">
        <f t="shared" si="12"/>
        <v>14</v>
      </c>
      <c r="BF39" s="62">
        <f>10+10</f>
        <v>20</v>
      </c>
      <c r="BG39" s="143">
        <f>2+11+4</f>
        <v>17</v>
      </c>
      <c r="BH39" s="13">
        <f t="shared" si="13"/>
        <v>17</v>
      </c>
      <c r="BI39" s="62"/>
      <c r="BJ39" s="143"/>
      <c r="BK39" s="13">
        <f t="shared" si="14"/>
        <v>17</v>
      </c>
      <c r="BL39" s="62"/>
      <c r="BM39" s="143">
        <f>6</f>
        <v>6</v>
      </c>
      <c r="BN39" s="13">
        <f t="shared" si="15"/>
        <v>11</v>
      </c>
      <c r="BO39" s="62"/>
      <c r="BP39" s="143">
        <v>1</v>
      </c>
      <c r="BQ39" s="13">
        <f t="shared" si="16"/>
        <v>10</v>
      </c>
      <c r="BR39" s="62">
        <f>-4+10</f>
        <v>6</v>
      </c>
      <c r="BS39" s="143">
        <f>2+8</f>
        <v>10</v>
      </c>
      <c r="BT39" s="13">
        <f t="shared" si="17"/>
        <v>6</v>
      </c>
      <c r="BU39" s="62"/>
      <c r="BV39" s="143"/>
      <c r="BW39" s="13">
        <f t="shared" si="18"/>
        <v>6</v>
      </c>
      <c r="BX39" s="175">
        <v>10</v>
      </c>
      <c r="BY39" s="143">
        <v>8</v>
      </c>
      <c r="BZ39" s="13">
        <f t="shared" si="19"/>
        <v>8</v>
      </c>
      <c r="CA39" s="62">
        <f>20+10</f>
        <v>30</v>
      </c>
      <c r="CB39" s="143">
        <f>7+5+2+3+5</f>
        <v>22</v>
      </c>
      <c r="CC39" s="13">
        <f t="shared" si="20"/>
        <v>16</v>
      </c>
      <c r="CD39" s="62"/>
      <c r="CE39" s="143">
        <f>2</f>
        <v>2</v>
      </c>
      <c r="CF39" s="13">
        <f t="shared" si="21"/>
        <v>14</v>
      </c>
      <c r="CG39" s="62"/>
      <c r="CH39" s="143">
        <f>1</f>
        <v>1</v>
      </c>
      <c r="CI39" s="13">
        <f t="shared" si="31"/>
        <v>13</v>
      </c>
      <c r="CJ39" s="62">
        <v>10</v>
      </c>
      <c r="CK39" s="143">
        <f>2+4+5</f>
        <v>11</v>
      </c>
      <c r="CL39" s="13">
        <f t="shared" si="32"/>
        <v>12</v>
      </c>
      <c r="CM39" s="62"/>
      <c r="CN39" s="143">
        <f>1+8</f>
        <v>9</v>
      </c>
      <c r="CO39" s="13">
        <f t="shared" si="22"/>
        <v>3</v>
      </c>
      <c r="CP39" s="62"/>
      <c r="CQ39" s="143"/>
      <c r="CR39" s="13">
        <f t="shared" si="33"/>
        <v>3</v>
      </c>
      <c r="CS39" s="61">
        <f>-1+10</f>
        <v>9</v>
      </c>
      <c r="CT39" s="143">
        <v>3</v>
      </c>
      <c r="CU39" s="14">
        <f t="shared" si="23"/>
        <v>9</v>
      </c>
      <c r="CV39" s="5">
        <f t="shared" si="36"/>
        <v>179</v>
      </c>
      <c r="CW39" s="4">
        <f t="shared" si="36"/>
        <v>177</v>
      </c>
      <c r="CX39" s="6">
        <f t="shared" si="25"/>
        <v>9</v>
      </c>
      <c r="CY39" s="162">
        <v>70</v>
      </c>
      <c r="CZ39" s="171">
        <f t="shared" si="26"/>
        <v>630</v>
      </c>
      <c r="DB39" s="2">
        <f t="shared" si="34"/>
        <v>9</v>
      </c>
      <c r="DC39" s="61"/>
      <c r="DD39" s="143"/>
      <c r="DE39" s="149">
        <f t="shared" si="35"/>
        <v>9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6.1999999999999771</v>
      </c>
      <c r="G40" s="62">
        <v>30</v>
      </c>
      <c r="H40" s="143">
        <f>1+1.9+2.2+1.1+2.5+1+1.1+1+1.1+0.9+1+1.3</f>
        <v>16.099999999999998</v>
      </c>
      <c r="I40" s="13">
        <f t="shared" si="0"/>
        <v>20.099999999999977</v>
      </c>
      <c r="J40" s="62"/>
      <c r="K40" s="143"/>
      <c r="L40" s="13">
        <f t="shared" si="1"/>
        <v>20.099999999999977</v>
      </c>
      <c r="M40" s="62">
        <v>20</v>
      </c>
      <c r="N40" s="143">
        <f>1+0.9+1.6+2.2+2+0.8+1</f>
        <v>9.5</v>
      </c>
      <c r="O40" s="13">
        <f t="shared" si="2"/>
        <v>30.59999999999998</v>
      </c>
      <c r="P40" s="62"/>
      <c r="Q40" s="143">
        <f>1.7+0.7+1.5+0.7+0.9+1.1+1.6+2.6+5.2+1.7+1</f>
        <v>18.7</v>
      </c>
      <c r="R40" s="30">
        <f t="shared" si="3"/>
        <v>11.899999999999981</v>
      </c>
      <c r="S40" s="62"/>
      <c r="T40" s="143"/>
      <c r="U40" s="13">
        <f t="shared" si="4"/>
        <v>11.899999999999981</v>
      </c>
      <c r="V40" s="62">
        <v>20</v>
      </c>
      <c r="W40" s="143">
        <f>2.5+1+0.3+0.4+0.3+0.2+0.2+0.3</f>
        <v>5.2</v>
      </c>
      <c r="X40" s="13">
        <f t="shared" si="5"/>
        <v>26.699999999999982</v>
      </c>
      <c r="Y40" s="62"/>
      <c r="Z40" s="143">
        <f>0.9+1.6+0.8</f>
        <v>3.3</v>
      </c>
      <c r="AA40" s="13">
        <f t="shared" si="27"/>
        <v>23.399999999999981</v>
      </c>
      <c r="AB40" s="62">
        <v>20</v>
      </c>
      <c r="AC40" s="143">
        <f>2.6+1+0.9+1.7+0.7+0.8+1.9+0.7+1.9+0.6+3.5</f>
        <v>16.299999999999997</v>
      </c>
      <c r="AD40" s="13">
        <f t="shared" si="28"/>
        <v>27.09999999999998</v>
      </c>
      <c r="AE40" s="62"/>
      <c r="AF40" s="143"/>
      <c r="AG40" s="13">
        <f t="shared" si="29"/>
        <v>27.09999999999998</v>
      </c>
      <c r="AH40" s="61"/>
      <c r="AI40" s="143">
        <f>2+0.5+1.6+1.8+0.7+0.8+0.8</f>
        <v>8.1999999999999993</v>
      </c>
      <c r="AJ40" s="13">
        <f t="shared" si="30"/>
        <v>18.899999999999981</v>
      </c>
      <c r="AK40" s="62">
        <v>20</v>
      </c>
      <c r="AL40" s="143">
        <f>1+2.2+1.2+0.8+3.4+0.9+1.2+0.6+2+1.4+0.8+1.5</f>
        <v>17</v>
      </c>
      <c r="AM40" s="13">
        <f t="shared" si="6"/>
        <v>21.899999999999977</v>
      </c>
      <c r="AN40" s="62"/>
      <c r="AO40" s="143"/>
      <c r="AP40" s="13">
        <f t="shared" si="7"/>
        <v>21.899999999999977</v>
      </c>
      <c r="AQ40" s="62">
        <v>20</v>
      </c>
      <c r="AR40" s="143">
        <f>1+2+0.2+0.2+0.3+0.2+0.2+0.2+0.2+5.1</f>
        <v>9.6000000000000014</v>
      </c>
      <c r="AS40" s="13">
        <f t="shared" si="8"/>
        <v>32.299999999999976</v>
      </c>
      <c r="AT40" s="62"/>
      <c r="AU40" s="143">
        <f>0.9+1.5+0.8+0.3</f>
        <v>3.5</v>
      </c>
      <c r="AV40" s="13">
        <f t="shared" si="9"/>
        <v>28.799999999999976</v>
      </c>
      <c r="AW40" s="62"/>
      <c r="AX40" s="143">
        <f>1.2+1.3+1.3+1.7+1.8+0.7+1+1+1.1+0.7+0.6</f>
        <v>12.399999999999999</v>
      </c>
      <c r="AY40" s="13">
        <f t="shared" si="10"/>
        <v>16.399999999999977</v>
      </c>
      <c r="AZ40" s="62"/>
      <c r="BA40" s="143"/>
      <c r="BB40" s="13">
        <f t="shared" si="11"/>
        <v>16.399999999999977</v>
      </c>
      <c r="BC40" s="62">
        <v>20</v>
      </c>
      <c r="BD40" s="143">
        <f>1.3+1+0.9+1.6+2.3+0.8+1.9+0.8+5.5+0.8</f>
        <v>16.900000000000002</v>
      </c>
      <c r="BE40" s="13">
        <f t="shared" si="12"/>
        <v>19.499999999999975</v>
      </c>
      <c r="BF40" s="62">
        <v>20</v>
      </c>
      <c r="BG40" s="143">
        <f>1.7+1.5+1.5+1.2+1+1.4+0.4+0.8+0.8+0.2</f>
        <v>10.500000000000002</v>
      </c>
      <c r="BH40" s="13">
        <f t="shared" si="13"/>
        <v>28.999999999999972</v>
      </c>
      <c r="BI40" s="62"/>
      <c r="BJ40" s="143">
        <v>2.4</v>
      </c>
      <c r="BK40" s="13">
        <f t="shared" si="14"/>
        <v>26.599999999999973</v>
      </c>
      <c r="BL40" s="62"/>
      <c r="BM40" s="143">
        <f>1</f>
        <v>1</v>
      </c>
      <c r="BN40" s="13">
        <f t="shared" si="15"/>
        <v>25.599999999999973</v>
      </c>
      <c r="BO40" s="62"/>
      <c r="BP40" s="143">
        <v>1.6</v>
      </c>
      <c r="BQ40" s="13">
        <f t="shared" si="16"/>
        <v>23.999999999999972</v>
      </c>
      <c r="BR40" s="62">
        <v>20</v>
      </c>
      <c r="BS40" s="143">
        <f>1+1+0.5+2+2.7+0.9+0.9+0.7+0.8+1.8+1.9+5.2+0.4</f>
        <v>19.8</v>
      </c>
      <c r="BT40" s="13">
        <f t="shared" si="17"/>
        <v>24.199999999999971</v>
      </c>
      <c r="BU40" s="62"/>
      <c r="BV40" s="143"/>
      <c r="BW40" s="13">
        <f t="shared" si="18"/>
        <v>24.199999999999971</v>
      </c>
      <c r="BX40" s="175">
        <v>20</v>
      </c>
      <c r="BY40" s="143">
        <f>2+0.5+1.6+2.1+1.7+0.8+1</f>
        <v>9.6999999999999993</v>
      </c>
      <c r="BZ40" s="13">
        <f t="shared" si="19"/>
        <v>34.499999999999972</v>
      </c>
      <c r="CA40" s="62">
        <v>20</v>
      </c>
      <c r="CB40" s="143">
        <f>0.6+0.9+1.6+1.2+0.8+1+0.6+2.5+1.7+1.1+1.2+2+1.8+2</f>
        <v>18.999999999999996</v>
      </c>
      <c r="CC40" s="13">
        <f t="shared" si="20"/>
        <v>35.499999999999972</v>
      </c>
      <c r="CD40" s="62"/>
      <c r="CE40" s="143"/>
      <c r="CF40" s="13">
        <f t="shared" si="21"/>
        <v>35.499999999999972</v>
      </c>
      <c r="CG40" s="62"/>
      <c r="CH40" s="143">
        <f>1+2+0.3+0.6+0.3+0.2+0.2+0.2</f>
        <v>4.8000000000000007</v>
      </c>
      <c r="CI40" s="13">
        <f t="shared" si="31"/>
        <v>30.699999999999971</v>
      </c>
      <c r="CJ40" s="62"/>
      <c r="CK40" s="143">
        <f>0.9+1+1.2+0.7</f>
        <v>3.8</v>
      </c>
      <c r="CL40" s="13">
        <f t="shared" si="32"/>
        <v>26.89999999999997</v>
      </c>
      <c r="CM40" s="62"/>
      <c r="CN40" s="143">
        <f>1.3+1+2+0.6+1.5+1.8+0.6+1.5+0.7+4</f>
        <v>14.999999999999998</v>
      </c>
      <c r="CO40" s="13">
        <f t="shared" si="22"/>
        <v>11.899999999999972</v>
      </c>
      <c r="CP40" s="62"/>
      <c r="CQ40" s="143"/>
      <c r="CR40" s="13">
        <f t="shared" si="33"/>
        <v>11.899999999999972</v>
      </c>
      <c r="CS40" s="62">
        <v>10</v>
      </c>
      <c r="CT40" s="143"/>
      <c r="CU40" s="14">
        <f t="shared" si="23"/>
        <v>21.89999999999997</v>
      </c>
      <c r="CV40" s="5">
        <f t="shared" si="36"/>
        <v>240</v>
      </c>
      <c r="CW40" s="4">
        <f t="shared" si="36"/>
        <v>224.30000000000004</v>
      </c>
      <c r="CX40" s="6">
        <f t="shared" si="25"/>
        <v>21.89999999999997</v>
      </c>
      <c r="CY40" s="162">
        <v>320</v>
      </c>
      <c r="CZ40" s="171">
        <f t="shared" si="26"/>
        <v>7007.9999999999909</v>
      </c>
      <c r="DB40" s="2">
        <f t="shared" si="34"/>
        <v>21.89999999999997</v>
      </c>
      <c r="DC40" s="62"/>
      <c r="DD40" s="143">
        <f>0.9+2.2+0.7+0.8+0.9+1.4+0.6</f>
        <v>7.5</v>
      </c>
      <c r="DE40" s="149">
        <f t="shared" si="35"/>
        <v>14.39999999999997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1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175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1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>
        <v>1</v>
      </c>
      <c r="H42" s="143"/>
      <c r="I42" s="13">
        <f t="shared" si="0"/>
        <v>1</v>
      </c>
      <c r="J42" s="62"/>
      <c r="K42" s="143"/>
      <c r="L42" s="13">
        <f t="shared" si="1"/>
        <v>1</v>
      </c>
      <c r="M42" s="62">
        <v>1</v>
      </c>
      <c r="N42" s="143"/>
      <c r="O42" s="13">
        <f t="shared" si="2"/>
        <v>2</v>
      </c>
      <c r="P42" s="62"/>
      <c r="Q42" s="143">
        <v>1</v>
      </c>
      <c r="R42" s="30">
        <f t="shared" si="3"/>
        <v>1</v>
      </c>
      <c r="S42" s="62"/>
      <c r="T42" s="143"/>
      <c r="U42" s="13">
        <f t="shared" si="4"/>
        <v>1</v>
      </c>
      <c r="V42" s="62"/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1">
        <v>1</v>
      </c>
      <c r="AI42" s="143"/>
      <c r="AJ42" s="13">
        <f t="shared" si="30"/>
        <v>2</v>
      </c>
      <c r="AK42" s="62">
        <v>1</v>
      </c>
      <c r="AL42" s="143">
        <v>1</v>
      </c>
      <c r="AM42" s="13">
        <f t="shared" si="6"/>
        <v>2</v>
      </c>
      <c r="AN42" s="62"/>
      <c r="AO42" s="143"/>
      <c r="AP42" s="13">
        <f t="shared" si="7"/>
        <v>2</v>
      </c>
      <c r="AQ42" s="62"/>
      <c r="AR42" s="143"/>
      <c r="AS42" s="13">
        <f t="shared" si="8"/>
        <v>2</v>
      </c>
      <c r="AT42" s="62"/>
      <c r="AU42" s="143"/>
      <c r="AV42" s="13">
        <f t="shared" si="9"/>
        <v>2</v>
      </c>
      <c r="AW42" s="62"/>
      <c r="AX42" s="143"/>
      <c r="AY42" s="13">
        <f t="shared" si="10"/>
        <v>2</v>
      </c>
      <c r="AZ42" s="62"/>
      <c r="BA42" s="143"/>
      <c r="BB42" s="13">
        <f t="shared" si="11"/>
        <v>2</v>
      </c>
      <c r="BC42" s="62"/>
      <c r="BD42" s="143"/>
      <c r="BE42" s="13">
        <f t="shared" si="12"/>
        <v>2</v>
      </c>
      <c r="BF42" s="62"/>
      <c r="BG42" s="143">
        <v>1</v>
      </c>
      <c r="BH42" s="13">
        <f t="shared" si="13"/>
        <v>1</v>
      </c>
      <c r="BI42" s="62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175"/>
      <c r="BY42" s="143"/>
      <c r="BZ42" s="13">
        <f t="shared" si="19"/>
        <v>1</v>
      </c>
      <c r="CA42" s="62">
        <v>1</v>
      </c>
      <c r="CB42" s="143">
        <v>1</v>
      </c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/>
      <c r="CL42" s="13">
        <f t="shared" si="32"/>
        <v>1</v>
      </c>
      <c r="CM42" s="62"/>
      <c r="CN42" s="143">
        <v>1</v>
      </c>
      <c r="CO42" s="13">
        <f t="shared" si="22"/>
        <v>0</v>
      </c>
      <c r="CP42" s="62"/>
      <c r="CQ42" s="143"/>
      <c r="CR42" s="13">
        <f t="shared" si="33"/>
        <v>0</v>
      </c>
      <c r="CS42" s="61"/>
      <c r="CT42" s="143"/>
      <c r="CU42" s="14">
        <f t="shared" si="23"/>
        <v>0</v>
      </c>
      <c r="CV42" s="5">
        <f t="shared" si="36"/>
        <v>5</v>
      </c>
      <c r="CW42" s="4">
        <f t="shared" si="36"/>
        <v>5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0.5</v>
      </c>
      <c r="G43" s="62">
        <v>3</v>
      </c>
      <c r="H43" s="143">
        <f>1+1+1</f>
        <v>3</v>
      </c>
      <c r="I43" s="13">
        <f t="shared" si="0"/>
        <v>0.5</v>
      </c>
      <c r="J43" s="62"/>
      <c r="K43" s="143"/>
      <c r="L43" s="13">
        <f t="shared" si="1"/>
        <v>0.5</v>
      </c>
      <c r="M43" s="62"/>
      <c r="N43" s="143"/>
      <c r="O43" s="13">
        <f t="shared" si="2"/>
        <v>0.5</v>
      </c>
      <c r="P43" s="62">
        <v>2</v>
      </c>
      <c r="Q43" s="143">
        <f>0.5+1.5</f>
        <v>2</v>
      </c>
      <c r="R43" s="30">
        <f t="shared" si="3"/>
        <v>0.5</v>
      </c>
      <c r="S43" s="62"/>
      <c r="T43" s="143"/>
      <c r="U43" s="13">
        <f t="shared" si="4"/>
        <v>0.5</v>
      </c>
      <c r="V43" s="62">
        <v>1</v>
      </c>
      <c r="W43" s="143">
        <f>0.5+0.5</f>
        <v>1</v>
      </c>
      <c r="X43" s="13">
        <f t="shared" si="5"/>
        <v>0.5</v>
      </c>
      <c r="Y43" s="62">
        <v>1</v>
      </c>
      <c r="Z43" s="143"/>
      <c r="AA43" s="13">
        <f t="shared" si="27"/>
        <v>1.5</v>
      </c>
      <c r="AB43" s="62"/>
      <c r="AC43" s="143">
        <f>0.5+0.5</f>
        <v>1</v>
      </c>
      <c r="AD43" s="13">
        <f t="shared" si="28"/>
        <v>0.5</v>
      </c>
      <c r="AE43" s="62"/>
      <c r="AF43" s="143"/>
      <c r="AG43" s="13">
        <f t="shared" si="29"/>
        <v>0.5</v>
      </c>
      <c r="AH43" s="61">
        <v>1</v>
      </c>
      <c r="AI43" s="143">
        <f>0.5</f>
        <v>0.5</v>
      </c>
      <c r="AJ43" s="13">
        <f t="shared" si="30"/>
        <v>1</v>
      </c>
      <c r="AK43" s="62">
        <v>2</v>
      </c>
      <c r="AL43" s="143">
        <f>0.5+0.5+0.5</f>
        <v>1.5</v>
      </c>
      <c r="AM43" s="13">
        <f t="shared" si="6"/>
        <v>1.5</v>
      </c>
      <c r="AN43" s="62"/>
      <c r="AO43" s="143"/>
      <c r="AP43" s="13">
        <f t="shared" si="7"/>
        <v>1.5</v>
      </c>
      <c r="AQ43" s="62"/>
      <c r="AR43" s="143"/>
      <c r="AS43" s="13">
        <f t="shared" si="8"/>
        <v>1.5</v>
      </c>
      <c r="AT43" s="62"/>
      <c r="AU43" s="143">
        <f>1</f>
        <v>1</v>
      </c>
      <c r="AV43" s="13">
        <f t="shared" si="9"/>
        <v>0.5</v>
      </c>
      <c r="AW43" s="62"/>
      <c r="AX43" s="143"/>
      <c r="AY43" s="13">
        <f t="shared" si="10"/>
        <v>0.5</v>
      </c>
      <c r="AZ43" s="62"/>
      <c r="BA43" s="143"/>
      <c r="BB43" s="13">
        <f t="shared" si="11"/>
        <v>0.5</v>
      </c>
      <c r="BC43" s="62"/>
      <c r="BD43" s="143">
        <v>0.5</v>
      </c>
      <c r="BE43" s="13">
        <f t="shared" si="12"/>
        <v>0</v>
      </c>
      <c r="BF43" s="62"/>
      <c r="BG43" s="143"/>
      <c r="BH43" s="13">
        <f t="shared" si="13"/>
        <v>0</v>
      </c>
      <c r="BI43" s="62"/>
      <c r="BJ43" s="143"/>
      <c r="BK43" s="13">
        <f t="shared" si="14"/>
        <v>0</v>
      </c>
      <c r="BL43" s="62"/>
      <c r="BM43" s="143"/>
      <c r="BN43" s="13">
        <f t="shared" si="15"/>
        <v>0</v>
      </c>
      <c r="BO43" s="62">
        <v>1</v>
      </c>
      <c r="BP43" s="143">
        <v>1</v>
      </c>
      <c r="BQ43" s="13">
        <f t="shared" si="16"/>
        <v>0</v>
      </c>
      <c r="BR43" s="62"/>
      <c r="BS43" s="143"/>
      <c r="BT43" s="13">
        <f t="shared" si="17"/>
        <v>0</v>
      </c>
      <c r="BU43" s="62"/>
      <c r="BV43" s="143"/>
      <c r="BW43" s="13">
        <f t="shared" si="18"/>
        <v>0</v>
      </c>
      <c r="BX43" s="175">
        <v>1</v>
      </c>
      <c r="BY43" s="143">
        <v>1</v>
      </c>
      <c r="BZ43" s="13">
        <f t="shared" si="19"/>
        <v>0</v>
      </c>
      <c r="CA43" s="62">
        <v>3</v>
      </c>
      <c r="CB43" s="143">
        <f>1+1+0.5+0.5</f>
        <v>3</v>
      </c>
      <c r="CC43" s="13">
        <f t="shared" si="20"/>
        <v>0</v>
      </c>
      <c r="CD43" s="62"/>
      <c r="CE43" s="143"/>
      <c r="CF43" s="13">
        <f t="shared" si="21"/>
        <v>0</v>
      </c>
      <c r="CG43" s="62">
        <v>1</v>
      </c>
      <c r="CH43" s="143">
        <v>0.5</v>
      </c>
      <c r="CI43" s="13">
        <f t="shared" si="31"/>
        <v>0.5</v>
      </c>
      <c r="CJ43" s="62"/>
      <c r="CK43" s="143">
        <v>0.5</v>
      </c>
      <c r="CL43" s="13">
        <f t="shared" si="32"/>
        <v>0</v>
      </c>
      <c r="CM43" s="62"/>
      <c r="CN43" s="143"/>
      <c r="CO43" s="13">
        <f t="shared" si="22"/>
        <v>0</v>
      </c>
      <c r="CP43" s="62"/>
      <c r="CQ43" s="143"/>
      <c r="CR43" s="13">
        <f t="shared" si="33"/>
        <v>0</v>
      </c>
      <c r="CS43" s="62">
        <v>3</v>
      </c>
      <c r="CT43" s="143"/>
      <c r="CU43" s="14">
        <f t="shared" si="23"/>
        <v>3</v>
      </c>
      <c r="CV43" s="5">
        <f t="shared" si="36"/>
        <v>19</v>
      </c>
      <c r="CW43" s="4">
        <f t="shared" si="36"/>
        <v>16.5</v>
      </c>
      <c r="CX43" s="6">
        <f t="shared" si="25"/>
        <v>3</v>
      </c>
      <c r="CY43" s="162">
        <v>600</v>
      </c>
      <c r="CZ43" s="171">
        <f t="shared" si="26"/>
        <v>1800</v>
      </c>
      <c r="DB43" s="2">
        <f t="shared" si="34"/>
        <v>3</v>
      </c>
      <c r="DC43" s="62"/>
      <c r="DD43" s="143">
        <f>1+2</f>
        <v>3</v>
      </c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1</v>
      </c>
      <c r="G44" s="62"/>
      <c r="H44" s="143"/>
      <c r="I44" s="13">
        <f t="shared" si="0"/>
        <v>1</v>
      </c>
      <c r="J44" s="62"/>
      <c r="K44" s="143"/>
      <c r="L44" s="13">
        <f t="shared" si="1"/>
        <v>1</v>
      </c>
      <c r="M44" s="62"/>
      <c r="N44" s="143"/>
      <c r="O44" s="13">
        <f t="shared" si="2"/>
        <v>1</v>
      </c>
      <c r="P44" s="62"/>
      <c r="Q44" s="143"/>
      <c r="R44" s="30">
        <f t="shared" si="3"/>
        <v>1</v>
      </c>
      <c r="S44" s="62"/>
      <c r="T44" s="143"/>
      <c r="U44" s="13">
        <f t="shared" si="4"/>
        <v>1</v>
      </c>
      <c r="V44" s="62"/>
      <c r="W44" s="143"/>
      <c r="X44" s="13">
        <f t="shared" si="5"/>
        <v>1</v>
      </c>
      <c r="Y44" s="62"/>
      <c r="Z44" s="143"/>
      <c r="AA44" s="13">
        <f t="shared" si="27"/>
        <v>1</v>
      </c>
      <c r="AB44" s="62"/>
      <c r="AC44" s="143">
        <v>1</v>
      </c>
      <c r="AD44" s="13">
        <f t="shared" si="28"/>
        <v>0</v>
      </c>
      <c r="AE44" s="62"/>
      <c r="AF44" s="143"/>
      <c r="AG44" s="13">
        <f t="shared" si="29"/>
        <v>0</v>
      </c>
      <c r="AH44" s="61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/>
      <c r="AU44" s="143"/>
      <c r="AV44" s="13">
        <f t="shared" si="9"/>
        <v>0</v>
      </c>
      <c r="AW44" s="62"/>
      <c r="AX44" s="143"/>
      <c r="AY44" s="13">
        <f t="shared" si="10"/>
        <v>0</v>
      </c>
      <c r="AZ44" s="62"/>
      <c r="BA44" s="143"/>
      <c r="BB44" s="13">
        <f t="shared" si="11"/>
        <v>0</v>
      </c>
      <c r="BC44" s="62"/>
      <c r="BD44" s="143"/>
      <c r="BE44" s="13">
        <f t="shared" si="12"/>
        <v>0</v>
      </c>
      <c r="BF44" s="62"/>
      <c r="BG44" s="143"/>
      <c r="BH44" s="13">
        <f t="shared" si="13"/>
        <v>0</v>
      </c>
      <c r="BI44" s="62"/>
      <c r="BJ44" s="143"/>
      <c r="BK44" s="13">
        <f t="shared" si="14"/>
        <v>0</v>
      </c>
      <c r="BL44" s="62"/>
      <c r="BM44" s="143"/>
      <c r="BN44" s="13">
        <f t="shared" si="15"/>
        <v>0</v>
      </c>
      <c r="BO44" s="62"/>
      <c r="BP44" s="143"/>
      <c r="BQ44" s="13">
        <f t="shared" si="16"/>
        <v>0</v>
      </c>
      <c r="BR44" s="62"/>
      <c r="BS44" s="143"/>
      <c r="BT44" s="13">
        <f t="shared" si="17"/>
        <v>0</v>
      </c>
      <c r="BU44" s="62"/>
      <c r="BV44" s="143"/>
      <c r="BW44" s="13">
        <f t="shared" si="18"/>
        <v>0</v>
      </c>
      <c r="BX44" s="175"/>
      <c r="BY44" s="143"/>
      <c r="BZ44" s="13">
        <f t="shared" si="19"/>
        <v>0</v>
      </c>
      <c r="CA44" s="62"/>
      <c r="CB44" s="143"/>
      <c r="CC44" s="13">
        <f t="shared" si="20"/>
        <v>0</v>
      </c>
      <c r="CD44" s="62"/>
      <c r="CE44" s="143"/>
      <c r="CF44" s="13">
        <f t="shared" si="21"/>
        <v>0</v>
      </c>
      <c r="CG44" s="62"/>
      <c r="CH44" s="143"/>
      <c r="CI44" s="13">
        <f t="shared" si="31"/>
        <v>0</v>
      </c>
      <c r="CJ44" s="62"/>
      <c r="CK44" s="143"/>
      <c r="CL44" s="13">
        <f t="shared" si="32"/>
        <v>0</v>
      </c>
      <c r="CM44" s="62"/>
      <c r="CN44" s="143"/>
      <c r="CO44" s="13">
        <f t="shared" si="22"/>
        <v>0</v>
      </c>
      <c r="CP44" s="62"/>
      <c r="CQ44" s="143"/>
      <c r="CR44" s="13">
        <f t="shared" si="33"/>
        <v>0</v>
      </c>
      <c r="CS44" s="61"/>
      <c r="CT44" s="143"/>
      <c r="CU44" s="14">
        <f t="shared" si="23"/>
        <v>0</v>
      </c>
      <c r="CV44" s="5">
        <f t="shared" si="36"/>
        <v>0</v>
      </c>
      <c r="CW44" s="4">
        <f t="shared" si="36"/>
        <v>1</v>
      </c>
      <c r="CX44" s="6">
        <f t="shared" si="25"/>
        <v>0</v>
      </c>
      <c r="CY44" s="162">
        <v>0</v>
      </c>
      <c r="CZ44" s="171">
        <f t="shared" si="26"/>
        <v>0</v>
      </c>
      <c r="DB44" s="2">
        <f t="shared" si="34"/>
        <v>0</v>
      </c>
      <c r="DC44" s="61"/>
      <c r="DD44" s="143"/>
      <c r="DE44" s="149">
        <f t="shared" si="35"/>
        <v>0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3</v>
      </c>
      <c r="G45" s="62"/>
      <c r="H45" s="143"/>
      <c r="I45" s="13">
        <f t="shared" si="0"/>
        <v>3</v>
      </c>
      <c r="J45" s="62"/>
      <c r="K45" s="143"/>
      <c r="L45" s="13">
        <f t="shared" si="1"/>
        <v>3</v>
      </c>
      <c r="M45" s="62"/>
      <c r="N45" s="143">
        <v>1</v>
      </c>
      <c r="O45" s="13">
        <f t="shared" si="2"/>
        <v>2</v>
      </c>
      <c r="P45" s="62">
        <v>1</v>
      </c>
      <c r="Q45" s="143">
        <v>3</v>
      </c>
      <c r="R45" s="30">
        <f t="shared" si="3"/>
        <v>0</v>
      </c>
      <c r="S45" s="62"/>
      <c r="T45" s="143"/>
      <c r="U45" s="13">
        <f t="shared" si="4"/>
        <v>0</v>
      </c>
      <c r="V45" s="62"/>
      <c r="W45" s="143"/>
      <c r="X45" s="13">
        <f t="shared" si="5"/>
        <v>0</v>
      </c>
      <c r="Y45" s="62"/>
      <c r="Z45" s="143"/>
      <c r="AA45" s="13">
        <f t="shared" si="27"/>
        <v>0</v>
      </c>
      <c r="AB45" s="62"/>
      <c r="AC45" s="143"/>
      <c r="AD45" s="13">
        <f t="shared" si="28"/>
        <v>0</v>
      </c>
      <c r="AE45" s="62"/>
      <c r="AF45" s="143"/>
      <c r="AG45" s="13">
        <f t="shared" si="29"/>
        <v>0</v>
      </c>
      <c r="AH45" s="61"/>
      <c r="AI45" s="143"/>
      <c r="AJ45" s="13">
        <f t="shared" si="30"/>
        <v>0</v>
      </c>
      <c r="AK45" s="62"/>
      <c r="AL45" s="143"/>
      <c r="AM45" s="13">
        <f t="shared" si="6"/>
        <v>0</v>
      </c>
      <c r="AN45" s="62"/>
      <c r="AO45" s="143"/>
      <c r="AP45" s="13">
        <f t="shared" si="7"/>
        <v>0</v>
      </c>
      <c r="AQ45" s="62"/>
      <c r="AR45" s="143"/>
      <c r="AS45" s="13">
        <f t="shared" si="8"/>
        <v>0</v>
      </c>
      <c r="AT45" s="62">
        <v>1</v>
      </c>
      <c r="AU45" s="143">
        <v>1</v>
      </c>
      <c r="AV45" s="13">
        <f t="shared" si="9"/>
        <v>0</v>
      </c>
      <c r="AW45" s="62">
        <v>3</v>
      </c>
      <c r="AX45" s="143">
        <v>3</v>
      </c>
      <c r="AY45" s="13">
        <f t="shared" si="10"/>
        <v>0</v>
      </c>
      <c r="AZ45" s="62"/>
      <c r="BA45" s="143"/>
      <c r="BB45" s="13">
        <f t="shared" si="11"/>
        <v>0</v>
      </c>
      <c r="BC45" s="62">
        <v>4</v>
      </c>
      <c r="BD45" s="143">
        <v>4</v>
      </c>
      <c r="BE45" s="13">
        <f t="shared" si="12"/>
        <v>0</v>
      </c>
      <c r="BF45" s="62"/>
      <c r="BG45" s="143"/>
      <c r="BH45" s="13">
        <f t="shared" si="13"/>
        <v>0</v>
      </c>
      <c r="BI45" s="62"/>
      <c r="BJ45" s="143"/>
      <c r="BK45" s="13">
        <f t="shared" si="14"/>
        <v>0</v>
      </c>
      <c r="BL45" s="62"/>
      <c r="BM45" s="143"/>
      <c r="BN45" s="13">
        <f t="shared" si="15"/>
        <v>0</v>
      </c>
      <c r="BO45" s="62"/>
      <c r="BP45" s="143"/>
      <c r="BQ45" s="13">
        <f t="shared" si="16"/>
        <v>0</v>
      </c>
      <c r="BR45" s="62"/>
      <c r="BS45" s="143"/>
      <c r="BT45" s="13">
        <f t="shared" si="17"/>
        <v>0</v>
      </c>
      <c r="BU45" s="62"/>
      <c r="BV45" s="143"/>
      <c r="BW45" s="13">
        <f t="shared" si="18"/>
        <v>0</v>
      </c>
      <c r="BX45" s="175">
        <v>2</v>
      </c>
      <c r="BY45" s="143">
        <v>2</v>
      </c>
      <c r="BZ45" s="13">
        <f t="shared" si="19"/>
        <v>0</v>
      </c>
      <c r="CA45" s="62">
        <v>2</v>
      </c>
      <c r="CB45" s="143">
        <v>2</v>
      </c>
      <c r="CC45" s="13">
        <f t="shared" si="20"/>
        <v>0</v>
      </c>
      <c r="CD45" s="62"/>
      <c r="CE45" s="143"/>
      <c r="CF45" s="13">
        <f t="shared" si="21"/>
        <v>0</v>
      </c>
      <c r="CG45" s="62"/>
      <c r="CH45" s="143"/>
      <c r="CI45" s="13">
        <f t="shared" si="31"/>
        <v>0</v>
      </c>
      <c r="CJ45" s="62"/>
      <c r="CK45" s="143"/>
      <c r="CL45" s="13">
        <f t="shared" si="32"/>
        <v>0</v>
      </c>
      <c r="CM45" s="62"/>
      <c r="CN45" s="143"/>
      <c r="CO45" s="13">
        <f t="shared" si="22"/>
        <v>0</v>
      </c>
      <c r="CP45" s="62"/>
      <c r="CQ45" s="143"/>
      <c r="CR45" s="13">
        <f t="shared" si="33"/>
        <v>0</v>
      </c>
      <c r="CS45" s="62"/>
      <c r="CT45" s="143"/>
      <c r="CU45" s="14">
        <f t="shared" si="23"/>
        <v>0</v>
      </c>
      <c r="CV45" s="5">
        <f t="shared" si="36"/>
        <v>13</v>
      </c>
      <c r="CW45" s="4">
        <f t="shared" si="36"/>
        <v>16</v>
      </c>
      <c r="CX45" s="6">
        <f t="shared" si="25"/>
        <v>0</v>
      </c>
      <c r="CY45" s="162">
        <v>250</v>
      </c>
      <c r="CZ45" s="171">
        <f t="shared" si="26"/>
        <v>0</v>
      </c>
      <c r="DB45" s="2">
        <f t="shared" si="34"/>
        <v>0</v>
      </c>
      <c r="DC45" s="62"/>
      <c r="DD45" s="143"/>
      <c r="DE45" s="149">
        <f t="shared" si="35"/>
        <v>0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3</v>
      </c>
      <c r="G46" s="176"/>
      <c r="H46" s="143"/>
      <c r="I46" s="13">
        <f t="shared" si="0"/>
        <v>3</v>
      </c>
      <c r="J46" s="176"/>
      <c r="K46" s="143"/>
      <c r="L46" s="13">
        <f t="shared" si="1"/>
        <v>3</v>
      </c>
      <c r="M46" s="176"/>
      <c r="N46" s="143">
        <v>1</v>
      </c>
      <c r="O46" s="13">
        <f t="shared" si="2"/>
        <v>2</v>
      </c>
      <c r="P46" s="176"/>
      <c r="Q46" s="143"/>
      <c r="R46" s="30">
        <f t="shared" si="3"/>
        <v>2</v>
      </c>
      <c r="S46" s="176"/>
      <c r="T46" s="143"/>
      <c r="U46" s="13">
        <f t="shared" si="4"/>
        <v>2</v>
      </c>
      <c r="V46" s="176"/>
      <c r="W46" s="143"/>
      <c r="X46" s="13">
        <f t="shared" si="5"/>
        <v>2</v>
      </c>
      <c r="Y46" s="176"/>
      <c r="Z46" s="143"/>
      <c r="AA46" s="13">
        <f t="shared" si="27"/>
        <v>2</v>
      </c>
      <c r="AB46" s="176"/>
      <c r="AC46" s="143">
        <v>1</v>
      </c>
      <c r="AD46" s="13">
        <f t="shared" si="28"/>
        <v>1</v>
      </c>
      <c r="AE46" s="176"/>
      <c r="AF46" s="143"/>
      <c r="AG46" s="13">
        <f t="shared" si="29"/>
        <v>1</v>
      </c>
      <c r="AH46" s="63"/>
      <c r="AI46" s="143"/>
      <c r="AJ46" s="13">
        <f t="shared" si="30"/>
        <v>1</v>
      </c>
      <c r="AK46" s="176"/>
      <c r="AL46" s="143"/>
      <c r="AM46" s="13">
        <f t="shared" si="6"/>
        <v>1</v>
      </c>
      <c r="AN46" s="176"/>
      <c r="AO46" s="143"/>
      <c r="AP46" s="13">
        <f t="shared" si="7"/>
        <v>1</v>
      </c>
      <c r="AQ46" s="176"/>
      <c r="AR46" s="143"/>
      <c r="AS46" s="13">
        <f t="shared" si="8"/>
        <v>1</v>
      </c>
      <c r="AT46" s="176"/>
      <c r="AU46" s="143">
        <v>1</v>
      </c>
      <c r="AV46" s="13">
        <f t="shared" si="9"/>
        <v>0</v>
      </c>
      <c r="AW46" s="176"/>
      <c r="AX46" s="143"/>
      <c r="AY46" s="13">
        <f t="shared" si="10"/>
        <v>0</v>
      </c>
      <c r="AZ46" s="176"/>
      <c r="BA46" s="143"/>
      <c r="BB46" s="13">
        <f t="shared" si="11"/>
        <v>0</v>
      </c>
      <c r="BC46" s="176"/>
      <c r="BD46" s="143"/>
      <c r="BE46" s="13">
        <f t="shared" si="12"/>
        <v>0</v>
      </c>
      <c r="BF46" s="176"/>
      <c r="BG46" s="143"/>
      <c r="BH46" s="13">
        <f t="shared" si="13"/>
        <v>0</v>
      </c>
      <c r="BI46" s="176"/>
      <c r="BJ46" s="143"/>
      <c r="BK46" s="13">
        <f t="shared" si="14"/>
        <v>0</v>
      </c>
      <c r="BL46" s="176"/>
      <c r="BM46" s="143"/>
      <c r="BN46" s="13">
        <f t="shared" si="15"/>
        <v>0</v>
      </c>
      <c r="BO46" s="176"/>
      <c r="BP46" s="143"/>
      <c r="BQ46" s="13">
        <f t="shared" si="16"/>
        <v>0</v>
      </c>
      <c r="BR46" s="176"/>
      <c r="BS46" s="143"/>
      <c r="BT46" s="13">
        <f t="shared" si="17"/>
        <v>0</v>
      </c>
      <c r="BU46" s="176"/>
      <c r="BV46" s="143"/>
      <c r="BW46" s="13">
        <f t="shared" si="18"/>
        <v>0</v>
      </c>
      <c r="BX46" s="194"/>
      <c r="BY46" s="143"/>
      <c r="BZ46" s="13">
        <f t="shared" si="19"/>
        <v>0</v>
      </c>
      <c r="CA46" s="176"/>
      <c r="CB46" s="195"/>
      <c r="CC46" s="13">
        <f t="shared" si="20"/>
        <v>0</v>
      </c>
      <c r="CD46" s="176"/>
      <c r="CE46" s="143"/>
      <c r="CF46" s="13">
        <f t="shared" si="21"/>
        <v>0</v>
      </c>
      <c r="CG46" s="176"/>
      <c r="CH46" s="143"/>
      <c r="CI46" s="13">
        <f t="shared" si="31"/>
        <v>0</v>
      </c>
      <c r="CJ46" s="176"/>
      <c r="CK46" s="143"/>
      <c r="CL46" s="13">
        <f t="shared" si="32"/>
        <v>0</v>
      </c>
      <c r="CM46" s="176"/>
      <c r="CN46" s="143"/>
      <c r="CO46" s="13">
        <f t="shared" si="22"/>
        <v>0</v>
      </c>
      <c r="CP46" s="176"/>
      <c r="CQ46" s="143"/>
      <c r="CR46" s="13">
        <f t="shared" si="33"/>
        <v>0</v>
      </c>
      <c r="CS46" s="63"/>
      <c r="CT46" s="143"/>
      <c r="CU46" s="14">
        <f t="shared" si="23"/>
        <v>0</v>
      </c>
      <c r="CV46" s="5">
        <f t="shared" si="36"/>
        <v>0</v>
      </c>
      <c r="CW46" s="4">
        <f t="shared" si="36"/>
        <v>3</v>
      </c>
      <c r="CX46" s="6">
        <f t="shared" si="25"/>
        <v>0</v>
      </c>
      <c r="CY46" s="162">
        <v>250</v>
      </c>
      <c r="CZ46" s="171">
        <f t="shared" si="26"/>
        <v>0</v>
      </c>
      <c r="DB46" s="2">
        <f t="shared" si="34"/>
        <v>0</v>
      </c>
      <c r="DC46" s="63"/>
      <c r="DD46" s="143"/>
      <c r="DE46" s="149">
        <f t="shared" si="35"/>
        <v>0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/>
      <c r="W47" s="143"/>
      <c r="X47" s="13">
        <f t="shared" si="5"/>
        <v>0</v>
      </c>
      <c r="Y47" s="176">
        <v>11</v>
      </c>
      <c r="Z47" s="143">
        <f>2</f>
        <v>2</v>
      </c>
      <c r="AA47" s="13">
        <f t="shared" si="27"/>
        <v>9</v>
      </c>
      <c r="AB47" s="176"/>
      <c r="AC47" s="143">
        <f>5+2+2</f>
        <v>9</v>
      </c>
      <c r="AD47" s="13">
        <f t="shared" si="28"/>
        <v>0</v>
      </c>
      <c r="AE47" s="176"/>
      <c r="AF47" s="143"/>
      <c r="AG47" s="13">
        <f t="shared" si="29"/>
        <v>0</v>
      </c>
      <c r="AH47" s="63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>
        <v>11</v>
      </c>
      <c r="BD47" s="143">
        <f>4+7</f>
        <v>11</v>
      </c>
      <c r="BE47" s="13">
        <f t="shared" si="12"/>
        <v>0</v>
      </c>
      <c r="BF47" s="176">
        <v>13</v>
      </c>
      <c r="BG47" s="143">
        <f>3+3+7</f>
        <v>13</v>
      </c>
      <c r="BH47" s="13">
        <f t="shared" si="13"/>
        <v>0</v>
      </c>
      <c r="BI47" s="17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>
        <v>9</v>
      </c>
      <c r="BS47" s="143">
        <f>4+3+2</f>
        <v>9</v>
      </c>
      <c r="BT47" s="13">
        <f t="shared" si="17"/>
        <v>0</v>
      </c>
      <c r="BU47" s="176"/>
      <c r="BV47" s="143"/>
      <c r="BW47" s="13">
        <f t="shared" si="18"/>
        <v>0</v>
      </c>
      <c r="BX47" s="194">
        <v>8</v>
      </c>
      <c r="BY47" s="143">
        <f>3</f>
        <v>3</v>
      </c>
      <c r="BZ47" s="13">
        <f t="shared" si="19"/>
        <v>5</v>
      </c>
      <c r="CA47" s="176">
        <v>13</v>
      </c>
      <c r="CB47" s="195">
        <f>5+4+4</f>
        <v>13</v>
      </c>
      <c r="CC47" s="13">
        <f t="shared" si="20"/>
        <v>5</v>
      </c>
      <c r="CD47" s="176"/>
      <c r="CE47" s="143">
        <f>5</f>
        <v>5</v>
      </c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63"/>
      <c r="CT47" s="143"/>
      <c r="CU47" s="14">
        <f t="shared" si="23"/>
        <v>0</v>
      </c>
      <c r="CV47" s="5">
        <f t="shared" si="36"/>
        <v>65</v>
      </c>
      <c r="CW47" s="4">
        <f t="shared" si="36"/>
        <v>65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3.17</v>
      </c>
      <c r="G48" s="62"/>
      <c r="H48" s="143">
        <f>0.7</f>
        <v>0.7</v>
      </c>
      <c r="I48" s="13">
        <f t="shared" si="0"/>
        <v>2.4699999999999998</v>
      </c>
      <c r="J48" s="62"/>
      <c r="K48" s="143"/>
      <c r="L48" s="13">
        <f t="shared" si="1"/>
        <v>2.4699999999999998</v>
      </c>
      <c r="M48" s="62">
        <v>4</v>
      </c>
      <c r="N48" s="143">
        <v>0.3</v>
      </c>
      <c r="O48" s="13">
        <f t="shared" si="2"/>
        <v>6.17</v>
      </c>
      <c r="P48" s="62"/>
      <c r="Q48" s="143">
        <f>0.5+0.7+0.5+0.5</f>
        <v>2.2000000000000002</v>
      </c>
      <c r="R48" s="30">
        <f t="shared" si="3"/>
        <v>3.9699999999999998</v>
      </c>
      <c r="S48" s="62"/>
      <c r="T48" s="143"/>
      <c r="U48" s="13">
        <f t="shared" si="4"/>
        <v>3.9699999999999998</v>
      </c>
      <c r="V48" s="62"/>
      <c r="W48" s="143"/>
      <c r="X48" s="13">
        <f t="shared" si="5"/>
        <v>3.9699999999999998</v>
      </c>
      <c r="Y48" s="62"/>
      <c r="Z48" s="143"/>
      <c r="AA48" s="13">
        <f t="shared" si="27"/>
        <v>3.9699999999999998</v>
      </c>
      <c r="AB48" s="62">
        <v>4</v>
      </c>
      <c r="AC48" s="143">
        <f>0.8+0.8+0.5+0.4+0.8</f>
        <v>3.3</v>
      </c>
      <c r="AD48" s="13">
        <f t="shared" si="28"/>
        <v>4.67</v>
      </c>
      <c r="AE48" s="62"/>
      <c r="AF48" s="143"/>
      <c r="AG48" s="13">
        <f t="shared" si="29"/>
        <v>4.67</v>
      </c>
      <c r="AH48" s="61"/>
      <c r="AI48" s="143"/>
      <c r="AJ48" s="13">
        <f t="shared" si="30"/>
        <v>4.67</v>
      </c>
      <c r="AK48" s="62">
        <v>4</v>
      </c>
      <c r="AL48" s="143">
        <f>0.7+0.5+0.4+0.4+0.4+0.5+1+0.3</f>
        <v>4.2</v>
      </c>
      <c r="AM48" s="13">
        <f t="shared" si="6"/>
        <v>4.47</v>
      </c>
      <c r="AN48" s="62"/>
      <c r="AO48" s="143"/>
      <c r="AP48" s="13">
        <f t="shared" si="7"/>
        <v>4.47</v>
      </c>
      <c r="AQ48" s="62"/>
      <c r="AR48" s="143">
        <f>0.7+0.1+0.1+0.1</f>
        <v>0.99999999999999989</v>
      </c>
      <c r="AS48" s="13">
        <f t="shared" si="8"/>
        <v>3.4699999999999998</v>
      </c>
      <c r="AT48" s="62"/>
      <c r="AU48" s="143">
        <f>0.5</f>
        <v>0.5</v>
      </c>
      <c r="AV48" s="13">
        <f t="shared" si="9"/>
        <v>2.9699999999999998</v>
      </c>
      <c r="AW48" s="62"/>
      <c r="AX48" s="143">
        <f>0.5</f>
        <v>0.5</v>
      </c>
      <c r="AY48" s="13">
        <f t="shared" si="10"/>
        <v>2.4699999999999998</v>
      </c>
      <c r="AZ48" s="62"/>
      <c r="BA48" s="143"/>
      <c r="BB48" s="13">
        <f t="shared" si="11"/>
        <v>2.4699999999999998</v>
      </c>
      <c r="BC48" s="62">
        <v>4</v>
      </c>
      <c r="BD48" s="143"/>
      <c r="BE48" s="13">
        <f t="shared" si="12"/>
        <v>6.47</v>
      </c>
      <c r="BF48" s="62"/>
      <c r="BG48" s="143">
        <f>0.8+1</f>
        <v>1.8</v>
      </c>
      <c r="BH48" s="13">
        <f t="shared" si="13"/>
        <v>4.67</v>
      </c>
      <c r="BI48" s="62"/>
      <c r="BJ48" s="143"/>
      <c r="BK48" s="13">
        <f t="shared" si="14"/>
        <v>4.67</v>
      </c>
      <c r="BL48" s="62"/>
      <c r="BM48" s="143">
        <f>0.8</f>
        <v>0.8</v>
      </c>
      <c r="BN48" s="13">
        <f t="shared" si="15"/>
        <v>3.87</v>
      </c>
      <c r="BO48" s="62"/>
      <c r="BP48" s="143">
        <f>0.2+0.5</f>
        <v>0.7</v>
      </c>
      <c r="BQ48" s="13">
        <f t="shared" si="16"/>
        <v>3.17</v>
      </c>
      <c r="BR48" s="62">
        <v>4</v>
      </c>
      <c r="BS48" s="143">
        <f>0.8+0.8+0.5+0.8</f>
        <v>2.9000000000000004</v>
      </c>
      <c r="BT48" s="13">
        <f t="shared" si="17"/>
        <v>4.2699999999999996</v>
      </c>
      <c r="BU48" s="62"/>
      <c r="BV48" s="143"/>
      <c r="BW48" s="13">
        <f t="shared" si="18"/>
        <v>4.2699999999999996</v>
      </c>
      <c r="BX48" s="175">
        <v>4</v>
      </c>
      <c r="BY48" s="143">
        <f>0.5</f>
        <v>0.5</v>
      </c>
      <c r="BZ48" s="13">
        <f t="shared" si="19"/>
        <v>7.77</v>
      </c>
      <c r="CA48" s="62">
        <v>4</v>
      </c>
      <c r="CB48" s="143">
        <f>0.7+0.4+0.4+1+0.3</f>
        <v>2.8</v>
      </c>
      <c r="CC48" s="13">
        <f t="shared" si="20"/>
        <v>8.9699999999999989</v>
      </c>
      <c r="CD48" s="62"/>
      <c r="CE48" s="143"/>
      <c r="CF48" s="13">
        <f t="shared" si="21"/>
        <v>8.9699999999999989</v>
      </c>
      <c r="CG48" s="62"/>
      <c r="CH48" s="143">
        <f>0.7+0.1</f>
        <v>0.79999999999999993</v>
      </c>
      <c r="CI48" s="13">
        <f t="shared" si="31"/>
        <v>8.1699999999999982</v>
      </c>
      <c r="CJ48" s="62"/>
      <c r="CK48" s="143">
        <v>0.5</v>
      </c>
      <c r="CL48" s="13">
        <f t="shared" si="32"/>
        <v>7.6699999999999982</v>
      </c>
      <c r="CM48" s="62"/>
      <c r="CN48" s="143">
        <f>0.9+0.5+0.5</f>
        <v>1.9</v>
      </c>
      <c r="CO48" s="13">
        <f t="shared" si="22"/>
        <v>5.7699999999999978</v>
      </c>
      <c r="CP48" s="62"/>
      <c r="CQ48" s="143"/>
      <c r="CR48" s="13">
        <f t="shared" si="33"/>
        <v>5.7699999999999978</v>
      </c>
      <c r="CS48" s="61"/>
      <c r="CT48" s="143"/>
      <c r="CU48" s="14">
        <f t="shared" si="23"/>
        <v>5.7699999999999978</v>
      </c>
      <c r="CV48" s="5">
        <f t="shared" si="36"/>
        <v>28</v>
      </c>
      <c r="CW48" s="4">
        <f t="shared" si="36"/>
        <v>25.4</v>
      </c>
      <c r="CX48" s="6">
        <f t="shared" si="25"/>
        <v>5.7699999999999978</v>
      </c>
      <c r="CY48" s="162">
        <v>700</v>
      </c>
      <c r="CZ48" s="171">
        <f t="shared" si="26"/>
        <v>4038.9999999999986</v>
      </c>
      <c r="DB48" s="2">
        <f t="shared" si="34"/>
        <v>5.7699999999999978</v>
      </c>
      <c r="DC48" s="61"/>
      <c r="DD48" s="143">
        <f>0.8</f>
        <v>0.8</v>
      </c>
      <c r="DE48" s="149">
        <f t="shared" si="35"/>
        <v>4.969999999999998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0</v>
      </c>
      <c r="G49" s="62">
        <f>-3+20</f>
        <v>17</v>
      </c>
      <c r="H49" s="143"/>
      <c r="I49" s="13">
        <f t="shared" si="0"/>
        <v>17</v>
      </c>
      <c r="J49" s="62"/>
      <c r="K49" s="143"/>
      <c r="L49" s="13">
        <f t="shared" si="1"/>
        <v>17</v>
      </c>
      <c r="M49" s="62"/>
      <c r="N49" s="143">
        <v>3</v>
      </c>
      <c r="O49" s="13">
        <f t="shared" si="2"/>
        <v>14</v>
      </c>
      <c r="P49" s="62"/>
      <c r="Q49" s="143">
        <v>5</v>
      </c>
      <c r="R49" s="30">
        <f t="shared" si="3"/>
        <v>9</v>
      </c>
      <c r="S49" s="62"/>
      <c r="T49" s="143"/>
      <c r="U49" s="13">
        <f t="shared" si="4"/>
        <v>9</v>
      </c>
      <c r="V49" s="62">
        <v>10</v>
      </c>
      <c r="W49" s="143">
        <v>3</v>
      </c>
      <c r="X49" s="13">
        <f t="shared" si="5"/>
        <v>16</v>
      </c>
      <c r="Y49" s="62"/>
      <c r="Z49" s="143">
        <v>3</v>
      </c>
      <c r="AA49" s="13">
        <f t="shared" si="27"/>
        <v>13</v>
      </c>
      <c r="AB49" s="62"/>
      <c r="AC49" s="143">
        <v>3</v>
      </c>
      <c r="AD49" s="13">
        <f t="shared" si="28"/>
        <v>10</v>
      </c>
      <c r="AE49" s="62"/>
      <c r="AF49" s="143"/>
      <c r="AG49" s="13">
        <f t="shared" si="29"/>
        <v>10</v>
      </c>
      <c r="AH49" s="61">
        <v>10</v>
      </c>
      <c r="AI49" s="143">
        <v>3</v>
      </c>
      <c r="AJ49" s="13">
        <f t="shared" si="30"/>
        <v>17</v>
      </c>
      <c r="AK49" s="62"/>
      <c r="AL49" s="143">
        <v>5</v>
      </c>
      <c r="AM49" s="13">
        <f t="shared" si="6"/>
        <v>12</v>
      </c>
      <c r="AN49" s="62"/>
      <c r="AO49" s="143"/>
      <c r="AP49" s="13">
        <f t="shared" si="7"/>
        <v>12</v>
      </c>
      <c r="AQ49" s="62"/>
      <c r="AR49" s="143">
        <v>2</v>
      </c>
      <c r="AS49" s="13">
        <f t="shared" si="8"/>
        <v>10</v>
      </c>
      <c r="AT49" s="62">
        <v>10</v>
      </c>
      <c r="AU49" s="143">
        <v>4</v>
      </c>
      <c r="AV49" s="13">
        <f t="shared" si="9"/>
        <v>16</v>
      </c>
      <c r="AW49" s="62"/>
      <c r="AX49" s="143">
        <v>4</v>
      </c>
      <c r="AY49" s="13">
        <f t="shared" si="10"/>
        <v>12</v>
      </c>
      <c r="AZ49" s="62"/>
      <c r="BA49" s="143"/>
      <c r="BB49" s="13">
        <f t="shared" si="11"/>
        <v>12</v>
      </c>
      <c r="BC49" s="62"/>
      <c r="BD49" s="143">
        <v>3</v>
      </c>
      <c r="BE49" s="13">
        <f t="shared" si="12"/>
        <v>9</v>
      </c>
      <c r="BF49" s="62">
        <v>10</v>
      </c>
      <c r="BG49" s="143">
        <v>4</v>
      </c>
      <c r="BH49" s="13">
        <f t="shared" si="13"/>
        <v>15</v>
      </c>
      <c r="BI49" s="62"/>
      <c r="BJ49" s="143"/>
      <c r="BK49" s="13">
        <f t="shared" si="14"/>
        <v>15</v>
      </c>
      <c r="BL49" s="62"/>
      <c r="BM49" s="143">
        <v>2</v>
      </c>
      <c r="BN49" s="13">
        <f t="shared" si="15"/>
        <v>13</v>
      </c>
      <c r="BO49" s="62"/>
      <c r="BP49" s="143">
        <v>3</v>
      </c>
      <c r="BQ49" s="13">
        <f t="shared" si="16"/>
        <v>10</v>
      </c>
      <c r="BR49" s="62">
        <v>10</v>
      </c>
      <c r="BS49" s="143">
        <v>4</v>
      </c>
      <c r="BT49" s="13">
        <f t="shared" si="17"/>
        <v>16</v>
      </c>
      <c r="BU49" s="62"/>
      <c r="BV49" s="143"/>
      <c r="BW49" s="13">
        <f t="shared" si="18"/>
        <v>16</v>
      </c>
      <c r="BX49" s="175"/>
      <c r="BY49" s="143">
        <v>3</v>
      </c>
      <c r="BZ49" s="13">
        <f t="shared" si="19"/>
        <v>13</v>
      </c>
      <c r="CA49" s="62">
        <v>10</v>
      </c>
      <c r="CB49" s="143">
        <v>3</v>
      </c>
      <c r="CC49" s="13">
        <f t="shared" si="20"/>
        <v>20</v>
      </c>
      <c r="CD49" s="62"/>
      <c r="CE49" s="143"/>
      <c r="CF49" s="13">
        <f t="shared" si="21"/>
        <v>20</v>
      </c>
      <c r="CG49" s="62"/>
      <c r="CH49" s="143">
        <v>2</v>
      </c>
      <c r="CI49" s="13">
        <f t="shared" si="31"/>
        <v>18</v>
      </c>
      <c r="CJ49" s="62"/>
      <c r="CK49" s="143">
        <v>3</v>
      </c>
      <c r="CL49" s="13">
        <f t="shared" si="32"/>
        <v>15</v>
      </c>
      <c r="CM49" s="62"/>
      <c r="CN49" s="143">
        <v>4</v>
      </c>
      <c r="CO49" s="13">
        <f t="shared" si="22"/>
        <v>11</v>
      </c>
      <c r="CP49" s="62"/>
      <c r="CQ49" s="143"/>
      <c r="CR49" s="13">
        <f t="shared" si="33"/>
        <v>11</v>
      </c>
      <c r="CS49" s="61"/>
      <c r="CT49" s="143">
        <v>2</v>
      </c>
      <c r="CU49" s="14">
        <f t="shared" si="23"/>
        <v>9</v>
      </c>
      <c r="CV49" s="5">
        <f t="shared" si="36"/>
        <v>77</v>
      </c>
      <c r="CW49" s="4">
        <f t="shared" si="36"/>
        <v>68</v>
      </c>
      <c r="CX49" s="6">
        <f t="shared" si="25"/>
        <v>9</v>
      </c>
      <c r="CY49" s="162">
        <v>880</v>
      </c>
      <c r="CZ49" s="171">
        <f t="shared" si="26"/>
        <v>7920</v>
      </c>
      <c r="DB49" s="2">
        <f t="shared" si="34"/>
        <v>9</v>
      </c>
      <c r="DC49" s="61"/>
      <c r="DD49" s="143"/>
      <c r="DE49" s="149">
        <f t="shared" si="35"/>
        <v>9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2</v>
      </c>
      <c r="G50" s="62">
        <f>-6+9</f>
        <v>3</v>
      </c>
      <c r="H50" s="143">
        <v>2</v>
      </c>
      <c r="I50" s="13">
        <f t="shared" si="0"/>
        <v>3</v>
      </c>
      <c r="J50" s="62"/>
      <c r="K50" s="143"/>
      <c r="L50" s="13">
        <f t="shared" si="1"/>
        <v>3</v>
      </c>
      <c r="M50" s="62">
        <f>7+2</f>
        <v>9</v>
      </c>
      <c r="N50" s="143">
        <v>3</v>
      </c>
      <c r="O50" s="13">
        <f t="shared" si="2"/>
        <v>9</v>
      </c>
      <c r="P50" s="62">
        <v>11</v>
      </c>
      <c r="Q50" s="143">
        <v>9</v>
      </c>
      <c r="R50" s="30">
        <f t="shared" si="3"/>
        <v>11</v>
      </c>
      <c r="S50" s="62">
        <v>13</v>
      </c>
      <c r="T50" s="143"/>
      <c r="U50" s="13">
        <f t="shared" si="4"/>
        <v>24</v>
      </c>
      <c r="V50" s="62">
        <f>-9+16</f>
        <v>7</v>
      </c>
      <c r="W50" s="143">
        <v>24</v>
      </c>
      <c r="X50" s="13">
        <f t="shared" si="5"/>
        <v>7</v>
      </c>
      <c r="Y50" s="62">
        <v>21</v>
      </c>
      <c r="Z50" s="143">
        <f>-2+7+2</f>
        <v>7</v>
      </c>
      <c r="AA50" s="13">
        <f t="shared" si="27"/>
        <v>21</v>
      </c>
      <c r="AB50" s="62">
        <v>19</v>
      </c>
      <c r="AC50" s="143">
        <f>21</f>
        <v>21</v>
      </c>
      <c r="AD50" s="13">
        <f t="shared" si="28"/>
        <v>19</v>
      </c>
      <c r="AE50" s="62"/>
      <c r="AF50" s="143"/>
      <c r="AG50" s="13">
        <f t="shared" si="29"/>
        <v>19</v>
      </c>
      <c r="AH50" s="61"/>
      <c r="AI50" s="143">
        <v>8</v>
      </c>
      <c r="AJ50" s="13">
        <f t="shared" si="30"/>
        <v>11</v>
      </c>
      <c r="AK50" s="62">
        <v>10</v>
      </c>
      <c r="AL50" s="143">
        <v>5</v>
      </c>
      <c r="AM50" s="13">
        <f t="shared" si="6"/>
        <v>16</v>
      </c>
      <c r="AN50" s="62"/>
      <c r="AO50" s="143"/>
      <c r="AP50" s="13">
        <f t="shared" si="7"/>
        <v>16</v>
      </c>
      <c r="AQ50" s="62">
        <v>9</v>
      </c>
      <c r="AR50" s="143">
        <v>14</v>
      </c>
      <c r="AS50" s="13">
        <f t="shared" si="8"/>
        <v>11</v>
      </c>
      <c r="AT50" s="62">
        <v>9</v>
      </c>
      <c r="AU50" s="143">
        <v>11</v>
      </c>
      <c r="AV50" s="13">
        <f t="shared" si="9"/>
        <v>9</v>
      </c>
      <c r="AW50" s="62">
        <v>13</v>
      </c>
      <c r="AX50" s="143">
        <v>9</v>
      </c>
      <c r="AY50" s="13">
        <f t="shared" si="10"/>
        <v>13</v>
      </c>
      <c r="AZ50" s="62"/>
      <c r="BA50" s="143"/>
      <c r="BB50" s="13">
        <f t="shared" si="11"/>
        <v>13</v>
      </c>
      <c r="BC50" s="62">
        <v>6</v>
      </c>
      <c r="BD50" s="143">
        <v>13</v>
      </c>
      <c r="BE50" s="13">
        <f t="shared" si="12"/>
        <v>6</v>
      </c>
      <c r="BF50" s="62">
        <f>10+10</f>
        <v>20</v>
      </c>
      <c r="BG50" s="143">
        <v>6</v>
      </c>
      <c r="BH50" s="13">
        <f t="shared" si="13"/>
        <v>20</v>
      </c>
      <c r="BI50" s="62"/>
      <c r="BJ50" s="143"/>
      <c r="BK50" s="13">
        <f t="shared" si="14"/>
        <v>20</v>
      </c>
      <c r="BL50" s="62"/>
      <c r="BM50" s="143">
        <v>5</v>
      </c>
      <c r="BN50" s="13">
        <f t="shared" si="15"/>
        <v>15</v>
      </c>
      <c r="BO50" s="62"/>
      <c r="BP50" s="143">
        <v>8</v>
      </c>
      <c r="BQ50" s="13">
        <f t="shared" si="16"/>
        <v>7</v>
      </c>
      <c r="BR50" s="62">
        <v>1</v>
      </c>
      <c r="BS50" s="143">
        <v>6</v>
      </c>
      <c r="BT50" s="13">
        <f t="shared" si="17"/>
        <v>2</v>
      </c>
      <c r="BU50" s="62"/>
      <c r="BV50" s="143"/>
      <c r="BW50" s="13">
        <f t="shared" si="18"/>
        <v>2</v>
      </c>
      <c r="BX50" s="175">
        <f>-5+8</f>
        <v>3</v>
      </c>
      <c r="BY50" s="143">
        <v>2</v>
      </c>
      <c r="BZ50" s="13">
        <f t="shared" si="19"/>
        <v>3</v>
      </c>
      <c r="CA50" s="62">
        <f>-1+6</f>
        <v>5</v>
      </c>
      <c r="CB50" s="143">
        <v>3</v>
      </c>
      <c r="CC50" s="13">
        <f t="shared" si="20"/>
        <v>5</v>
      </c>
      <c r="CD50" s="62"/>
      <c r="CE50" s="143"/>
      <c r="CF50" s="13">
        <f t="shared" si="21"/>
        <v>5</v>
      </c>
      <c r="CG50" s="62">
        <v>3</v>
      </c>
      <c r="CH50" s="143">
        <v>5</v>
      </c>
      <c r="CI50" s="13">
        <f t="shared" si="31"/>
        <v>3</v>
      </c>
      <c r="CJ50" s="62">
        <v>7</v>
      </c>
      <c r="CK50" s="143">
        <v>3</v>
      </c>
      <c r="CL50" s="13">
        <f t="shared" si="32"/>
        <v>7</v>
      </c>
      <c r="CM50" s="62">
        <v>4</v>
      </c>
      <c r="CN50" s="143">
        <v>7</v>
      </c>
      <c r="CO50" s="13">
        <f t="shared" si="22"/>
        <v>4</v>
      </c>
      <c r="CP50" s="62"/>
      <c r="CQ50" s="143"/>
      <c r="CR50" s="13">
        <f t="shared" si="33"/>
        <v>4</v>
      </c>
      <c r="CS50" s="61">
        <f>-6+9+3</f>
        <v>6</v>
      </c>
      <c r="CT50" s="143">
        <v>4</v>
      </c>
      <c r="CU50" s="14">
        <f t="shared" si="23"/>
        <v>6</v>
      </c>
      <c r="CV50" s="5">
        <f t="shared" si="36"/>
        <v>179</v>
      </c>
      <c r="CW50" s="4">
        <f t="shared" si="36"/>
        <v>175</v>
      </c>
      <c r="CX50" s="6">
        <f t="shared" si="25"/>
        <v>6</v>
      </c>
      <c r="CY50" s="162">
        <v>85</v>
      </c>
      <c r="CZ50" s="171">
        <f t="shared" si="26"/>
        <v>510</v>
      </c>
      <c r="DB50" s="2">
        <f t="shared" si="34"/>
        <v>6</v>
      </c>
      <c r="DC50" s="61"/>
      <c r="DD50" s="143"/>
      <c r="DE50" s="149">
        <f t="shared" si="35"/>
        <v>6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1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175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1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1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175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1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6</v>
      </c>
      <c r="G53" s="62">
        <f>-14+29</f>
        <v>15</v>
      </c>
      <c r="H53" s="143">
        <v>6</v>
      </c>
      <c r="I53" s="13">
        <f t="shared" si="0"/>
        <v>15</v>
      </c>
      <c r="J53" s="62"/>
      <c r="K53" s="143"/>
      <c r="L53" s="13">
        <f t="shared" si="1"/>
        <v>15</v>
      </c>
      <c r="M53" s="62">
        <v>13</v>
      </c>
      <c r="N53" s="143">
        <v>8</v>
      </c>
      <c r="O53" s="13">
        <f t="shared" si="2"/>
        <v>20</v>
      </c>
      <c r="P53" s="62">
        <v>5</v>
      </c>
      <c r="Q53" s="143">
        <v>10</v>
      </c>
      <c r="R53" s="13">
        <f t="shared" si="3"/>
        <v>15</v>
      </c>
      <c r="S53" s="62"/>
      <c r="T53" s="143"/>
      <c r="U53" s="13">
        <f t="shared" si="4"/>
        <v>15</v>
      </c>
      <c r="V53" s="62">
        <v>15</v>
      </c>
      <c r="W53" s="143">
        <v>5</v>
      </c>
      <c r="X53" s="13">
        <f t="shared" si="5"/>
        <v>25</v>
      </c>
      <c r="Y53" s="62">
        <v>10</v>
      </c>
      <c r="Z53" s="143">
        <v>10</v>
      </c>
      <c r="AA53" s="13">
        <f t="shared" si="27"/>
        <v>25</v>
      </c>
      <c r="AB53" s="62"/>
      <c r="AC53" s="143">
        <f>9</f>
        <v>9</v>
      </c>
      <c r="AD53" s="13">
        <f t="shared" si="28"/>
        <v>16</v>
      </c>
      <c r="AE53" s="62"/>
      <c r="AF53" s="143"/>
      <c r="AG53" s="13">
        <f t="shared" si="29"/>
        <v>16</v>
      </c>
      <c r="AH53" s="61">
        <v>14</v>
      </c>
      <c r="AI53" s="143">
        <v>10</v>
      </c>
      <c r="AJ53" s="13">
        <f t="shared" si="30"/>
        <v>20</v>
      </c>
      <c r="AK53" s="62">
        <v>7</v>
      </c>
      <c r="AL53" s="143">
        <v>7</v>
      </c>
      <c r="AM53" s="13">
        <f t="shared" si="6"/>
        <v>20</v>
      </c>
      <c r="AN53" s="62"/>
      <c r="AO53" s="143"/>
      <c r="AP53" s="13">
        <f t="shared" si="7"/>
        <v>20</v>
      </c>
      <c r="AQ53" s="62">
        <v>6</v>
      </c>
      <c r="AR53" s="143">
        <v>11</v>
      </c>
      <c r="AS53" s="13">
        <f t="shared" si="8"/>
        <v>15</v>
      </c>
      <c r="AT53" s="62">
        <v>17</v>
      </c>
      <c r="AU53" s="143">
        <v>12</v>
      </c>
      <c r="AV53" s="13">
        <f t="shared" si="9"/>
        <v>20</v>
      </c>
      <c r="AW53" s="62">
        <v>11</v>
      </c>
      <c r="AX53" s="143">
        <f>16</f>
        <v>16</v>
      </c>
      <c r="AY53" s="13">
        <f t="shared" si="10"/>
        <v>15</v>
      </c>
      <c r="AZ53" s="62"/>
      <c r="BA53" s="143"/>
      <c r="BB53" s="13">
        <f t="shared" si="11"/>
        <v>15</v>
      </c>
      <c r="BC53" s="62">
        <v>12</v>
      </c>
      <c r="BD53" s="143">
        <v>7</v>
      </c>
      <c r="BE53" s="13">
        <f t="shared" si="12"/>
        <v>20</v>
      </c>
      <c r="BF53" s="62">
        <v>16</v>
      </c>
      <c r="BG53" s="143">
        <v>16</v>
      </c>
      <c r="BH53" s="13">
        <f t="shared" si="13"/>
        <v>20</v>
      </c>
      <c r="BI53" s="62"/>
      <c r="BJ53" s="143"/>
      <c r="BK53" s="13">
        <f t="shared" si="14"/>
        <v>20</v>
      </c>
      <c r="BL53" s="62"/>
      <c r="BM53" s="143">
        <v>8</v>
      </c>
      <c r="BN53" s="13">
        <f t="shared" si="15"/>
        <v>12</v>
      </c>
      <c r="BO53" s="62">
        <v>10</v>
      </c>
      <c r="BP53" s="143">
        <v>3</v>
      </c>
      <c r="BQ53" s="13">
        <f t="shared" si="16"/>
        <v>19</v>
      </c>
      <c r="BR53" s="62">
        <f>-1+16</f>
        <v>15</v>
      </c>
      <c r="BS53" s="143">
        <v>19</v>
      </c>
      <c r="BT53" s="13">
        <f t="shared" si="17"/>
        <v>15</v>
      </c>
      <c r="BU53" s="62"/>
      <c r="BV53" s="143"/>
      <c r="BW53" s="13">
        <f t="shared" si="18"/>
        <v>15</v>
      </c>
      <c r="BX53" s="175">
        <v>12</v>
      </c>
      <c r="BY53" s="143">
        <f>12</f>
        <v>12</v>
      </c>
      <c r="BZ53" s="13">
        <f t="shared" si="19"/>
        <v>15</v>
      </c>
      <c r="CA53" s="62">
        <v>7</v>
      </c>
      <c r="CB53" s="143">
        <v>7</v>
      </c>
      <c r="CC53" s="13">
        <f t="shared" si="20"/>
        <v>15</v>
      </c>
      <c r="CD53" s="62"/>
      <c r="CE53" s="143"/>
      <c r="CF53" s="13">
        <f t="shared" si="21"/>
        <v>15</v>
      </c>
      <c r="CG53" s="62">
        <v>6</v>
      </c>
      <c r="CH53" s="143">
        <v>6</v>
      </c>
      <c r="CI53" s="13">
        <f>CF53+CG53-CH53</f>
        <v>15</v>
      </c>
      <c r="CJ53" s="62">
        <v>5</v>
      </c>
      <c r="CK53" s="143">
        <v>5</v>
      </c>
      <c r="CL53" s="13">
        <f>CI53+CJ53-CK53</f>
        <v>15</v>
      </c>
      <c r="CM53" s="62">
        <v>5</v>
      </c>
      <c r="CN53" s="143">
        <v>10</v>
      </c>
      <c r="CO53" s="13">
        <f t="shared" si="22"/>
        <v>10</v>
      </c>
      <c r="CP53" s="62"/>
      <c r="CQ53" s="143"/>
      <c r="CR53" s="13">
        <f t="shared" si="33"/>
        <v>10</v>
      </c>
      <c r="CS53" s="61">
        <v>8</v>
      </c>
      <c r="CT53" s="143">
        <v>8</v>
      </c>
      <c r="CU53" s="14">
        <f t="shared" si="23"/>
        <v>10</v>
      </c>
      <c r="CV53" s="5">
        <f t="shared" si="36"/>
        <v>209</v>
      </c>
      <c r="CW53" s="4">
        <f t="shared" si="36"/>
        <v>205</v>
      </c>
      <c r="CX53" s="6">
        <f t="shared" si="25"/>
        <v>10</v>
      </c>
      <c r="CY53" s="162">
        <v>85</v>
      </c>
      <c r="CZ53" s="171">
        <f t="shared" si="26"/>
        <v>850</v>
      </c>
      <c r="DB53" s="2">
        <f t="shared" si="34"/>
        <v>10</v>
      </c>
      <c r="DC53" s="61"/>
      <c r="DD53" s="143"/>
      <c r="DE53" s="149">
        <f t="shared" si="35"/>
        <v>10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1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175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1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2</v>
      </c>
      <c r="G55" s="62">
        <v>10</v>
      </c>
      <c r="H55" s="143"/>
      <c r="I55" s="13">
        <f t="shared" si="0"/>
        <v>12</v>
      </c>
      <c r="J55" s="62"/>
      <c r="K55" s="143"/>
      <c r="L55" s="13">
        <f t="shared" si="1"/>
        <v>12</v>
      </c>
      <c r="M55" s="62"/>
      <c r="N55" s="143"/>
      <c r="O55" s="13">
        <f t="shared" si="2"/>
        <v>12</v>
      </c>
      <c r="P55" s="62">
        <v>10</v>
      </c>
      <c r="Q55" s="143">
        <v>7</v>
      </c>
      <c r="R55" s="13">
        <f t="shared" si="3"/>
        <v>15</v>
      </c>
      <c r="S55" s="62"/>
      <c r="T55" s="143"/>
      <c r="U55" s="13">
        <f t="shared" si="4"/>
        <v>15</v>
      </c>
      <c r="V55" s="62"/>
      <c r="W55" s="143"/>
      <c r="X55" s="13">
        <f t="shared" si="5"/>
        <v>15</v>
      </c>
      <c r="Y55" s="62"/>
      <c r="Z55" s="143"/>
      <c r="AA55" s="13">
        <f t="shared" si="27"/>
        <v>15</v>
      </c>
      <c r="AB55" s="62"/>
      <c r="AC55" s="143"/>
      <c r="AD55" s="13">
        <f t="shared" si="28"/>
        <v>15</v>
      </c>
      <c r="AE55" s="62"/>
      <c r="AF55" s="143"/>
      <c r="AG55" s="13">
        <f t="shared" si="29"/>
        <v>15</v>
      </c>
      <c r="AH55" s="61"/>
      <c r="AI55" s="143"/>
      <c r="AJ55" s="13">
        <f t="shared" si="30"/>
        <v>15</v>
      </c>
      <c r="AK55" s="62"/>
      <c r="AL55" s="143">
        <v>6</v>
      </c>
      <c r="AM55" s="13">
        <f t="shared" si="6"/>
        <v>9</v>
      </c>
      <c r="AN55" s="62"/>
      <c r="AO55" s="143"/>
      <c r="AP55" s="13">
        <f t="shared" si="7"/>
        <v>9</v>
      </c>
      <c r="AQ55" s="62"/>
      <c r="AR55" s="143"/>
      <c r="AS55" s="13">
        <f t="shared" si="8"/>
        <v>9</v>
      </c>
      <c r="AT55" s="62"/>
      <c r="AU55" s="143">
        <v>6</v>
      </c>
      <c r="AV55" s="13">
        <f t="shared" si="9"/>
        <v>3</v>
      </c>
      <c r="AW55" s="62">
        <v>10</v>
      </c>
      <c r="AX55" s="143"/>
      <c r="AY55" s="13">
        <f t="shared" si="10"/>
        <v>13</v>
      </c>
      <c r="AZ55" s="62"/>
      <c r="BA55" s="143"/>
      <c r="BB55" s="13">
        <f t="shared" si="11"/>
        <v>13</v>
      </c>
      <c r="BC55" s="62"/>
      <c r="BD55" s="143"/>
      <c r="BE55" s="13">
        <f t="shared" si="12"/>
        <v>13</v>
      </c>
      <c r="BF55" s="62"/>
      <c r="BG55" s="143">
        <v>4</v>
      </c>
      <c r="BH55" s="13">
        <f t="shared" si="13"/>
        <v>9</v>
      </c>
      <c r="BI55" s="62"/>
      <c r="BJ55" s="143"/>
      <c r="BK55" s="13">
        <f t="shared" si="14"/>
        <v>9</v>
      </c>
      <c r="BL55" s="62"/>
      <c r="BM55" s="143"/>
      <c r="BN55" s="13">
        <f t="shared" si="15"/>
        <v>9</v>
      </c>
      <c r="BO55" s="62"/>
      <c r="BP55" s="143"/>
      <c r="BQ55" s="13">
        <f t="shared" si="16"/>
        <v>9</v>
      </c>
      <c r="BR55" s="62"/>
      <c r="BS55" s="143"/>
      <c r="BT55" s="13">
        <f t="shared" si="17"/>
        <v>9</v>
      </c>
      <c r="BU55" s="62"/>
      <c r="BV55" s="143"/>
      <c r="BW55" s="13">
        <f t="shared" si="18"/>
        <v>9</v>
      </c>
      <c r="BX55" s="175"/>
      <c r="BY55" s="143"/>
      <c r="BZ55" s="13">
        <f t="shared" si="19"/>
        <v>9</v>
      </c>
      <c r="CA55" s="62"/>
      <c r="CB55" s="143">
        <v>4</v>
      </c>
      <c r="CC55" s="13">
        <f t="shared" si="20"/>
        <v>5</v>
      </c>
      <c r="CD55" s="62"/>
      <c r="CE55" s="143"/>
      <c r="CF55" s="13">
        <f t="shared" si="21"/>
        <v>5</v>
      </c>
      <c r="CG55" s="62"/>
      <c r="CH55" s="143"/>
      <c r="CI55" s="13">
        <f t="shared" si="31"/>
        <v>5</v>
      </c>
      <c r="CJ55" s="62"/>
      <c r="CK55" s="143"/>
      <c r="CL55" s="13">
        <f t="shared" si="32"/>
        <v>5</v>
      </c>
      <c r="CM55" s="62"/>
      <c r="CN55" s="143">
        <v>5</v>
      </c>
      <c r="CO55" s="13">
        <f t="shared" si="22"/>
        <v>0</v>
      </c>
      <c r="CP55" s="62"/>
      <c r="CQ55" s="143"/>
      <c r="CR55" s="13">
        <f t="shared" si="33"/>
        <v>0</v>
      </c>
      <c r="CS55" s="61"/>
      <c r="CT55" s="143"/>
      <c r="CU55" s="14">
        <f t="shared" si="23"/>
        <v>0</v>
      </c>
      <c r="CV55" s="5">
        <f t="shared" si="36"/>
        <v>30</v>
      </c>
      <c r="CW55" s="4">
        <f t="shared" si="36"/>
        <v>32</v>
      </c>
      <c r="CX55" s="6">
        <f t="shared" si="25"/>
        <v>0</v>
      </c>
      <c r="CY55" s="162">
        <v>125</v>
      </c>
      <c r="CZ55" s="171">
        <f t="shared" si="26"/>
        <v>0</v>
      </c>
      <c r="DB55" s="2">
        <f t="shared" si="34"/>
        <v>0</v>
      </c>
      <c r="DC55" s="61"/>
      <c r="DD55" s="143"/>
      <c r="DE55" s="149">
        <f t="shared" si="35"/>
        <v>0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>
        <v>2</v>
      </c>
      <c r="N56" s="143"/>
      <c r="O56" s="13">
        <f t="shared" si="2"/>
        <v>2</v>
      </c>
      <c r="P56" s="62"/>
      <c r="Q56" s="143">
        <v>2</v>
      </c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1">
        <v>2</v>
      </c>
      <c r="AI56" s="143"/>
      <c r="AJ56" s="13">
        <f t="shared" si="30"/>
        <v>2</v>
      </c>
      <c r="AK56" s="62"/>
      <c r="AL56" s="143">
        <v>2</v>
      </c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175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1">
        <f>-1+2</f>
        <v>1</v>
      </c>
      <c r="CT56" s="143"/>
      <c r="CU56" s="14">
        <f t="shared" si="23"/>
        <v>1</v>
      </c>
      <c r="CV56" s="5">
        <f t="shared" si="36"/>
        <v>5</v>
      </c>
      <c r="CW56" s="4">
        <f t="shared" si="36"/>
        <v>4</v>
      </c>
      <c r="CX56" s="6">
        <f t="shared" si="25"/>
        <v>1</v>
      </c>
      <c r="CY56" s="162">
        <v>560</v>
      </c>
      <c r="CZ56" s="171">
        <f t="shared" si="26"/>
        <v>560</v>
      </c>
      <c r="DB56" s="2">
        <f t="shared" si="34"/>
        <v>1</v>
      </c>
      <c r="DC56" s="61"/>
      <c r="DD56" s="143"/>
      <c r="DE56" s="149">
        <f t="shared" si="35"/>
        <v>1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1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175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15.499999999999989</v>
      </c>
      <c r="G58" s="62">
        <v>10</v>
      </c>
      <c r="H58" s="143">
        <f>5+7.6+2.2+4.2</f>
        <v>19</v>
      </c>
      <c r="I58" s="13">
        <f t="shared" si="0"/>
        <v>6.4999999999999893</v>
      </c>
      <c r="J58" s="62"/>
      <c r="K58" s="143"/>
      <c r="L58" s="13">
        <f t="shared" si="1"/>
        <v>6.4999999999999893</v>
      </c>
      <c r="M58" s="62"/>
      <c r="N58" s="143"/>
      <c r="O58" s="13">
        <f t="shared" si="2"/>
        <v>6.4999999999999893</v>
      </c>
      <c r="P58" s="62">
        <v>10</v>
      </c>
      <c r="Q58" s="143">
        <f>2.5+2+2+2.2</f>
        <v>8.6999999999999993</v>
      </c>
      <c r="R58" s="13">
        <f t="shared" si="3"/>
        <v>7.7999999999999901</v>
      </c>
      <c r="S58" s="62"/>
      <c r="T58" s="143"/>
      <c r="U58" s="13">
        <f t="shared" si="4"/>
        <v>7.7999999999999901</v>
      </c>
      <c r="V58" s="62"/>
      <c r="W58" s="143">
        <f>0.2</f>
        <v>0.2</v>
      </c>
      <c r="X58" s="13">
        <f t="shared" si="5"/>
        <v>7.5999999999999899</v>
      </c>
      <c r="Y58" s="62">
        <v>10</v>
      </c>
      <c r="Z58" s="143">
        <f>1.7</f>
        <v>1.7</v>
      </c>
      <c r="AA58" s="13">
        <f t="shared" si="27"/>
        <v>15.899999999999991</v>
      </c>
      <c r="AB58" s="62"/>
      <c r="AC58" s="143">
        <f>1.4+4.5</f>
        <v>5.9</v>
      </c>
      <c r="AD58" s="13">
        <f t="shared" si="28"/>
        <v>9.9999999999999911</v>
      </c>
      <c r="AE58" s="62"/>
      <c r="AF58" s="143"/>
      <c r="AG58" s="13">
        <f t="shared" si="29"/>
        <v>9.9999999999999911</v>
      </c>
      <c r="AH58" s="61"/>
      <c r="AI58" s="143"/>
      <c r="AJ58" s="13">
        <f t="shared" si="30"/>
        <v>9.9999999999999911</v>
      </c>
      <c r="AK58" s="62"/>
      <c r="AL58" s="143">
        <f>2.5+2.5</f>
        <v>5</v>
      </c>
      <c r="AM58" s="13">
        <f t="shared" si="6"/>
        <v>4.9999999999999911</v>
      </c>
      <c r="AN58" s="62"/>
      <c r="AO58" s="143"/>
      <c r="AP58" s="13">
        <f t="shared" si="7"/>
        <v>4.9999999999999911</v>
      </c>
      <c r="AQ58" s="62"/>
      <c r="AR58" s="143">
        <f>0.2+0.2+0.2</f>
        <v>0.60000000000000009</v>
      </c>
      <c r="AS58" s="13">
        <f t="shared" si="8"/>
        <v>4.3999999999999915</v>
      </c>
      <c r="AT58" s="62">
        <v>10</v>
      </c>
      <c r="AU58" s="143">
        <f>2.1</f>
        <v>2.1</v>
      </c>
      <c r="AV58" s="13">
        <f t="shared" si="9"/>
        <v>12.299999999999992</v>
      </c>
      <c r="AW58" s="62">
        <v>10</v>
      </c>
      <c r="AX58" s="143">
        <f>2.4+2.1+2.4+1.9+3.2+1</f>
        <v>13</v>
      </c>
      <c r="AY58" s="13">
        <f t="shared" si="10"/>
        <v>9.2999999999999901</v>
      </c>
      <c r="AZ58" s="62"/>
      <c r="BA58" s="143"/>
      <c r="BB58" s="13">
        <f t="shared" si="11"/>
        <v>9.2999999999999901</v>
      </c>
      <c r="BC58" s="62"/>
      <c r="BD58" s="143">
        <f>1.9</f>
        <v>1.9</v>
      </c>
      <c r="BE58" s="13">
        <f t="shared" si="12"/>
        <v>7.3999999999999897</v>
      </c>
      <c r="BF58" s="62"/>
      <c r="BG58" s="143"/>
      <c r="BH58" s="13">
        <f t="shared" si="13"/>
        <v>7.3999999999999897</v>
      </c>
      <c r="BI58" s="62"/>
      <c r="BJ58" s="143"/>
      <c r="BK58" s="13">
        <f t="shared" si="14"/>
        <v>7.3999999999999897</v>
      </c>
      <c r="BL58" s="62"/>
      <c r="BM58" s="143"/>
      <c r="BN58" s="13">
        <f t="shared" si="15"/>
        <v>7.3999999999999897</v>
      </c>
      <c r="BO58" s="62"/>
      <c r="BP58" s="143">
        <f>0.2+3.2</f>
        <v>3.4000000000000004</v>
      </c>
      <c r="BQ58" s="13">
        <f t="shared" si="16"/>
        <v>3.9999999999999893</v>
      </c>
      <c r="BR58" s="62">
        <v>10</v>
      </c>
      <c r="BS58" s="143">
        <f>1.9+2.1+2.9+0.1</f>
        <v>7</v>
      </c>
      <c r="BT58" s="13">
        <f t="shared" si="17"/>
        <v>6.9999999999999893</v>
      </c>
      <c r="BU58" s="62"/>
      <c r="BV58" s="143"/>
      <c r="BW58" s="13">
        <f t="shared" si="18"/>
        <v>6.9999999999999893</v>
      </c>
      <c r="BX58" s="175">
        <v>10</v>
      </c>
      <c r="BY58" s="143">
        <f>1.4+2.6</f>
        <v>4</v>
      </c>
      <c r="BZ58" s="13">
        <f t="shared" si="19"/>
        <v>12.999999999999989</v>
      </c>
      <c r="CA58" s="62"/>
      <c r="CB58" s="143">
        <f>2.5</f>
        <v>2.5</v>
      </c>
      <c r="CC58" s="13">
        <f t="shared" si="20"/>
        <v>10.499999999999989</v>
      </c>
      <c r="CD58" s="62"/>
      <c r="CE58" s="143"/>
      <c r="CF58" s="13">
        <f t="shared" si="21"/>
        <v>10.499999999999989</v>
      </c>
      <c r="CG58" s="62"/>
      <c r="CH58" s="143">
        <f>0.2</f>
        <v>0.2</v>
      </c>
      <c r="CI58" s="13">
        <f t="shared" si="31"/>
        <v>10.29999999999999</v>
      </c>
      <c r="CJ58" s="62"/>
      <c r="CK58" s="143"/>
      <c r="CL58" s="13">
        <f t="shared" si="32"/>
        <v>10.29999999999999</v>
      </c>
      <c r="CM58" s="62"/>
      <c r="CN58" s="143">
        <f>1.4</f>
        <v>1.4</v>
      </c>
      <c r="CO58" s="13">
        <f t="shared" si="22"/>
        <v>8.8999999999999897</v>
      </c>
      <c r="CP58" s="62"/>
      <c r="CQ58" s="143"/>
      <c r="CR58" s="13">
        <f t="shared" si="33"/>
        <v>8.8999999999999897</v>
      </c>
      <c r="CS58" s="61"/>
      <c r="CT58" s="143"/>
      <c r="CU58" s="14">
        <f t="shared" si="23"/>
        <v>8.8999999999999897</v>
      </c>
      <c r="CV58" s="5">
        <f t="shared" si="36"/>
        <v>70</v>
      </c>
      <c r="CW58" s="4">
        <f t="shared" si="36"/>
        <v>76.600000000000009</v>
      </c>
      <c r="CX58" s="6">
        <f t="shared" si="25"/>
        <v>8.8999999999999897</v>
      </c>
      <c r="CY58" s="162">
        <v>380</v>
      </c>
      <c r="CZ58" s="171">
        <f t="shared" si="26"/>
        <v>3381.9999999999959</v>
      </c>
      <c r="DB58" s="2">
        <f t="shared" si="34"/>
        <v>8.8999999999999897</v>
      </c>
      <c r="DC58" s="61"/>
      <c r="DD58" s="143"/>
      <c r="DE58" s="149">
        <f t="shared" si="35"/>
        <v>8.8999999999999897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30</v>
      </c>
      <c r="G59" s="62">
        <f>60</f>
        <v>60</v>
      </c>
      <c r="H59" s="143">
        <f>5+21+48+1+1</f>
        <v>76</v>
      </c>
      <c r="I59" s="13">
        <f t="shared" si="0"/>
        <v>14</v>
      </c>
      <c r="J59" s="62"/>
      <c r="K59" s="143"/>
      <c r="L59" s="13">
        <f t="shared" si="1"/>
        <v>14</v>
      </c>
      <c r="M59" s="62">
        <f>-19+50</f>
        <v>31</v>
      </c>
      <c r="N59" s="143">
        <f>3+8+3+1</f>
        <v>15</v>
      </c>
      <c r="O59" s="13">
        <f t="shared" si="2"/>
        <v>30</v>
      </c>
      <c r="P59" s="62">
        <v>50</v>
      </c>
      <c r="Q59" s="143">
        <f>3+16+34+1</f>
        <v>54</v>
      </c>
      <c r="R59" s="30">
        <f t="shared" si="3"/>
        <v>26</v>
      </c>
      <c r="S59" s="62"/>
      <c r="T59" s="143"/>
      <c r="U59" s="13">
        <f t="shared" si="4"/>
        <v>26</v>
      </c>
      <c r="V59" s="62">
        <v>50</v>
      </c>
      <c r="W59" s="143">
        <f>3+9+10</f>
        <v>22</v>
      </c>
      <c r="X59" s="13">
        <f t="shared" si="5"/>
        <v>54</v>
      </c>
      <c r="Y59" s="62">
        <v>40</v>
      </c>
      <c r="Z59" s="143">
        <f>3+9+15</f>
        <v>27</v>
      </c>
      <c r="AA59" s="13">
        <f t="shared" si="27"/>
        <v>67</v>
      </c>
      <c r="AB59" s="62">
        <v>40</v>
      </c>
      <c r="AC59" s="143">
        <f>8+11+44+1</f>
        <v>64</v>
      </c>
      <c r="AD59" s="13">
        <f t="shared" si="28"/>
        <v>43</v>
      </c>
      <c r="AE59" s="62"/>
      <c r="AF59" s="143"/>
      <c r="AG59" s="13">
        <f t="shared" si="29"/>
        <v>43</v>
      </c>
      <c r="AH59" s="61">
        <v>40</v>
      </c>
      <c r="AI59" s="143">
        <f>1+8+21+1</f>
        <v>31</v>
      </c>
      <c r="AJ59" s="13">
        <f t="shared" si="30"/>
        <v>52</v>
      </c>
      <c r="AK59" s="62">
        <v>30</v>
      </c>
      <c r="AL59" s="143">
        <f>2+13+35</f>
        <v>50</v>
      </c>
      <c r="AM59" s="13">
        <f t="shared" si="6"/>
        <v>32</v>
      </c>
      <c r="AN59" s="62">
        <v>10</v>
      </c>
      <c r="AO59" s="143"/>
      <c r="AP59" s="13">
        <f t="shared" si="7"/>
        <v>42</v>
      </c>
      <c r="AQ59" s="62">
        <v>40</v>
      </c>
      <c r="AR59" s="143">
        <f>3+9+20</f>
        <v>32</v>
      </c>
      <c r="AS59" s="13">
        <f t="shared" si="8"/>
        <v>50</v>
      </c>
      <c r="AT59" s="62">
        <v>40</v>
      </c>
      <c r="AU59" s="143">
        <f>3+15+23</f>
        <v>41</v>
      </c>
      <c r="AV59" s="13">
        <f t="shared" si="9"/>
        <v>49</v>
      </c>
      <c r="AW59" s="62">
        <v>70</v>
      </c>
      <c r="AX59" s="143">
        <f>6+13+49+1</f>
        <v>69</v>
      </c>
      <c r="AY59" s="13">
        <f t="shared" si="10"/>
        <v>50</v>
      </c>
      <c r="AZ59" s="62"/>
      <c r="BA59" s="143"/>
      <c r="BB59" s="13">
        <f t="shared" si="11"/>
        <v>50</v>
      </c>
      <c r="BC59" s="62">
        <v>40</v>
      </c>
      <c r="BD59" s="143">
        <f>2+8+19+1</f>
        <v>30</v>
      </c>
      <c r="BE59" s="13">
        <f t="shared" si="12"/>
        <v>60</v>
      </c>
      <c r="BF59" s="62">
        <f>40</f>
        <v>40</v>
      </c>
      <c r="BG59" s="143">
        <f>6+20+38+1</f>
        <v>65</v>
      </c>
      <c r="BH59" s="13">
        <f t="shared" si="13"/>
        <v>35</v>
      </c>
      <c r="BI59" s="62"/>
      <c r="BJ59" s="143"/>
      <c r="BK59" s="13">
        <f t="shared" si="14"/>
        <v>35</v>
      </c>
      <c r="BL59" s="62">
        <v>40</v>
      </c>
      <c r="BM59" s="143">
        <f>13+6+7</f>
        <v>26</v>
      </c>
      <c r="BN59" s="13">
        <f t="shared" si="15"/>
        <v>49</v>
      </c>
      <c r="BO59" s="62">
        <v>60</v>
      </c>
      <c r="BP59" s="143">
        <f>2+8+26</f>
        <v>36</v>
      </c>
      <c r="BQ59" s="13">
        <f t="shared" si="16"/>
        <v>73</v>
      </c>
      <c r="BR59" s="62">
        <v>40</v>
      </c>
      <c r="BS59" s="143">
        <f>6+17+47+1</f>
        <v>71</v>
      </c>
      <c r="BT59" s="13">
        <f t="shared" si="17"/>
        <v>42</v>
      </c>
      <c r="BU59" s="62"/>
      <c r="BV59" s="143"/>
      <c r="BW59" s="13">
        <f t="shared" si="18"/>
        <v>42</v>
      </c>
      <c r="BX59" s="175">
        <v>40</v>
      </c>
      <c r="BY59" s="143">
        <f>4+16+28+1</f>
        <v>49</v>
      </c>
      <c r="BZ59" s="13">
        <f t="shared" si="19"/>
        <v>33</v>
      </c>
      <c r="CA59" s="62">
        <f>50</f>
        <v>50</v>
      </c>
      <c r="CB59" s="143">
        <f>4+13+35+1</f>
        <v>53</v>
      </c>
      <c r="CC59" s="13">
        <f t="shared" si="20"/>
        <v>30</v>
      </c>
      <c r="CD59" s="62">
        <v>10</v>
      </c>
      <c r="CE59" s="143"/>
      <c r="CF59" s="13">
        <f t="shared" si="21"/>
        <v>40</v>
      </c>
      <c r="CG59" s="62">
        <v>40</v>
      </c>
      <c r="CH59" s="143">
        <f>2+6+20</f>
        <v>28</v>
      </c>
      <c r="CI59" s="13">
        <f t="shared" si="31"/>
        <v>52</v>
      </c>
      <c r="CJ59" s="62">
        <v>60</v>
      </c>
      <c r="CK59" s="143">
        <f>6+18+1</f>
        <v>25</v>
      </c>
      <c r="CL59" s="13">
        <f t="shared" si="32"/>
        <v>87</v>
      </c>
      <c r="CM59" s="62">
        <v>40</v>
      </c>
      <c r="CN59" s="143">
        <f>5+13+42</f>
        <v>60</v>
      </c>
      <c r="CO59" s="13">
        <f t="shared" si="22"/>
        <v>67</v>
      </c>
      <c r="CP59" s="62"/>
      <c r="CQ59" s="143"/>
      <c r="CR59" s="13">
        <f t="shared" si="33"/>
        <v>67</v>
      </c>
      <c r="CS59" s="61">
        <v>20</v>
      </c>
      <c r="CT59" s="143">
        <f>4+6+17</f>
        <v>27</v>
      </c>
      <c r="CU59" s="14">
        <f t="shared" si="23"/>
        <v>60</v>
      </c>
      <c r="CV59" s="5">
        <f t="shared" si="36"/>
        <v>981</v>
      </c>
      <c r="CW59" s="4">
        <f t="shared" si="36"/>
        <v>951</v>
      </c>
      <c r="CX59" s="6">
        <f t="shared" si="25"/>
        <v>60</v>
      </c>
      <c r="CY59" s="162">
        <v>214</v>
      </c>
      <c r="CZ59" s="171">
        <f t="shared" si="26"/>
        <v>12840</v>
      </c>
      <c r="DB59" s="2">
        <f t="shared" si="34"/>
        <v>60</v>
      </c>
      <c r="DC59" s="61"/>
      <c r="DD59" s="143"/>
      <c r="DE59" s="149">
        <f t="shared" si="35"/>
        <v>60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34</v>
      </c>
      <c r="G60" s="62">
        <f>-4+48</f>
        <v>44</v>
      </c>
      <c r="H60" s="143">
        <f>34+4+4+5+1</f>
        <v>48</v>
      </c>
      <c r="I60" s="13">
        <f t="shared" si="0"/>
        <v>30</v>
      </c>
      <c r="J60" s="62"/>
      <c r="K60" s="143"/>
      <c r="L60" s="13">
        <f t="shared" si="1"/>
        <v>30</v>
      </c>
      <c r="M60" s="62">
        <f>24+2</f>
        <v>26</v>
      </c>
      <c r="N60" s="143">
        <f>23+2+3</f>
        <v>28</v>
      </c>
      <c r="O60" s="13">
        <f t="shared" si="2"/>
        <v>28</v>
      </c>
      <c r="P60" s="62">
        <f>-6+48</f>
        <v>42</v>
      </c>
      <c r="Q60" s="143">
        <f>26+5+4+2</f>
        <v>37</v>
      </c>
      <c r="R60" s="30">
        <f t="shared" si="3"/>
        <v>33</v>
      </c>
      <c r="S60" s="62"/>
      <c r="T60" s="143"/>
      <c r="U60" s="13">
        <f t="shared" si="4"/>
        <v>33</v>
      </c>
      <c r="V60" s="62">
        <v>24</v>
      </c>
      <c r="W60" s="143">
        <f>8+1+1</f>
        <v>10</v>
      </c>
      <c r="X60" s="13">
        <f t="shared" si="5"/>
        <v>47</v>
      </c>
      <c r="Y60" s="62">
        <v>24</v>
      </c>
      <c r="Z60" s="143">
        <f>10+5</f>
        <v>15</v>
      </c>
      <c r="AA60" s="13">
        <f t="shared" si="27"/>
        <v>56</v>
      </c>
      <c r="AB60" s="62">
        <v>24</v>
      </c>
      <c r="AC60" s="143">
        <f>32+6+5+3</f>
        <v>46</v>
      </c>
      <c r="AD60" s="13">
        <f t="shared" si="28"/>
        <v>34</v>
      </c>
      <c r="AE60" s="62"/>
      <c r="AF60" s="143"/>
      <c r="AG60" s="13">
        <f t="shared" si="29"/>
        <v>34</v>
      </c>
      <c r="AH60" s="61">
        <v>24</v>
      </c>
      <c r="AI60" s="143">
        <f>20+6</f>
        <v>26</v>
      </c>
      <c r="AJ60" s="13">
        <f t="shared" si="30"/>
        <v>32</v>
      </c>
      <c r="AK60" s="62">
        <v>24</v>
      </c>
      <c r="AL60" s="143">
        <f>27+6+4+3+6+7</f>
        <v>53</v>
      </c>
      <c r="AM60" s="13">
        <f t="shared" si="6"/>
        <v>3</v>
      </c>
      <c r="AN60" s="62">
        <f>48-6-6-4</f>
        <v>32</v>
      </c>
      <c r="AO60" s="143"/>
      <c r="AP60" s="13">
        <f t="shared" si="7"/>
        <v>35</v>
      </c>
      <c r="AQ60" s="62">
        <v>24</v>
      </c>
      <c r="AR60" s="143">
        <f>10+1+1+1</f>
        <v>13</v>
      </c>
      <c r="AS60" s="13">
        <f t="shared" si="8"/>
        <v>46</v>
      </c>
      <c r="AT60" s="62">
        <v>24</v>
      </c>
      <c r="AU60" s="143">
        <f>1</f>
        <v>1</v>
      </c>
      <c r="AV60" s="13">
        <f t="shared" si="9"/>
        <v>69</v>
      </c>
      <c r="AW60" s="62">
        <v>24</v>
      </c>
      <c r="AX60" s="143">
        <f>23+4+5+5</f>
        <v>37</v>
      </c>
      <c r="AY60" s="13">
        <f t="shared" si="10"/>
        <v>56</v>
      </c>
      <c r="AZ60" s="62"/>
      <c r="BA60" s="143"/>
      <c r="BB60" s="13">
        <f t="shared" si="11"/>
        <v>56</v>
      </c>
      <c r="BC60" s="62"/>
      <c r="BD60" s="143">
        <f>3+1+4</f>
        <v>8</v>
      </c>
      <c r="BE60" s="13">
        <f t="shared" si="12"/>
        <v>48</v>
      </c>
      <c r="BF60" s="62">
        <v>24</v>
      </c>
      <c r="BG60" s="143">
        <f>14+2+4</f>
        <v>20</v>
      </c>
      <c r="BH60" s="13">
        <f t="shared" si="13"/>
        <v>52</v>
      </c>
      <c r="BI60" s="62"/>
      <c r="BJ60" s="143"/>
      <c r="BK60" s="13">
        <f t="shared" si="14"/>
        <v>52</v>
      </c>
      <c r="BL60" s="62">
        <v>24</v>
      </c>
      <c r="BM60" s="143">
        <v>10</v>
      </c>
      <c r="BN60" s="13">
        <f t="shared" si="15"/>
        <v>66</v>
      </c>
      <c r="BO60" s="62">
        <v>24</v>
      </c>
      <c r="BP60" s="143">
        <f>16+4+5</f>
        <v>25</v>
      </c>
      <c r="BQ60" s="13">
        <f t="shared" si="16"/>
        <v>65</v>
      </c>
      <c r="BR60" s="62">
        <v>24</v>
      </c>
      <c r="BS60" s="143">
        <f>28+3+5+6+3</f>
        <v>45</v>
      </c>
      <c r="BT60" s="13">
        <f t="shared" si="17"/>
        <v>44</v>
      </c>
      <c r="BU60" s="62"/>
      <c r="BV60" s="143"/>
      <c r="BW60" s="13">
        <f t="shared" si="18"/>
        <v>44</v>
      </c>
      <c r="BX60" s="175"/>
      <c r="BY60" s="143">
        <f>17+6+6+4</f>
        <v>33</v>
      </c>
      <c r="BZ60" s="13">
        <f t="shared" si="19"/>
        <v>11</v>
      </c>
      <c r="CA60" s="64">
        <f>48-1+1</f>
        <v>48</v>
      </c>
      <c r="CB60" s="143">
        <f>11+7+6+6+5+6+4</f>
        <v>45</v>
      </c>
      <c r="CC60" s="13">
        <f t="shared" si="20"/>
        <v>14</v>
      </c>
      <c r="CD60" s="62">
        <v>24</v>
      </c>
      <c r="CE60" s="143"/>
      <c r="CF60" s="13">
        <f t="shared" si="21"/>
        <v>38</v>
      </c>
      <c r="CG60" s="62">
        <v>24</v>
      </c>
      <c r="CH60" s="143">
        <f>16+2+1</f>
        <v>19</v>
      </c>
      <c r="CI60" s="13">
        <f t="shared" si="31"/>
        <v>43</v>
      </c>
      <c r="CJ60" s="62">
        <v>24</v>
      </c>
      <c r="CK60" s="143">
        <f>6+4</f>
        <v>10</v>
      </c>
      <c r="CL60" s="13">
        <f t="shared" si="32"/>
        <v>57</v>
      </c>
      <c r="CM60" s="62">
        <v>24</v>
      </c>
      <c r="CN60" s="143">
        <f>30+3</f>
        <v>33</v>
      </c>
      <c r="CO60" s="13">
        <f t="shared" si="22"/>
        <v>48</v>
      </c>
      <c r="CP60" s="62"/>
      <c r="CQ60" s="143"/>
      <c r="CR60" s="13">
        <f t="shared" si="33"/>
        <v>48</v>
      </c>
      <c r="CS60" s="61"/>
      <c r="CT60" s="143">
        <f>20</f>
        <v>20</v>
      </c>
      <c r="CU60" s="14">
        <f t="shared" si="23"/>
        <v>28</v>
      </c>
      <c r="CV60" s="5">
        <f t="shared" si="36"/>
        <v>576</v>
      </c>
      <c r="CW60" s="4">
        <f t="shared" si="36"/>
        <v>582</v>
      </c>
      <c r="CX60" s="6">
        <f t="shared" si="25"/>
        <v>28</v>
      </c>
      <c r="CY60" s="162">
        <v>28</v>
      </c>
      <c r="CZ60" s="171">
        <f t="shared" si="26"/>
        <v>784</v>
      </c>
      <c r="DB60" s="2">
        <f t="shared" si="34"/>
        <v>28</v>
      </c>
      <c r="DC60" s="61"/>
      <c r="DD60" s="143">
        <f>3</f>
        <v>3</v>
      </c>
      <c r="DE60" s="149">
        <f t="shared" si="35"/>
        <v>25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1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175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1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175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1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129</v>
      </c>
      <c r="G63" s="62">
        <f>-40+420</f>
        <v>380</v>
      </c>
      <c r="H63" s="143">
        <f>30+9+90</f>
        <v>129</v>
      </c>
      <c r="I63" s="13">
        <f t="shared" si="0"/>
        <v>380</v>
      </c>
      <c r="J63" s="62"/>
      <c r="K63" s="143"/>
      <c r="L63" s="13">
        <f t="shared" si="1"/>
        <v>380</v>
      </c>
      <c r="M63" s="62"/>
      <c r="N63" s="143">
        <f>10+140</f>
        <v>150</v>
      </c>
      <c r="O63" s="13">
        <f t="shared" si="2"/>
        <v>230</v>
      </c>
      <c r="P63" s="62">
        <v>280</v>
      </c>
      <c r="Q63" s="143">
        <f>20+2+105</f>
        <v>127</v>
      </c>
      <c r="R63" s="30">
        <f t="shared" si="3"/>
        <v>383</v>
      </c>
      <c r="S63" s="62"/>
      <c r="T63" s="143"/>
      <c r="U63" s="13">
        <f t="shared" si="4"/>
        <v>383</v>
      </c>
      <c r="V63" s="62">
        <v>280</v>
      </c>
      <c r="W63" s="143">
        <f>7+80</f>
        <v>87</v>
      </c>
      <c r="X63" s="13">
        <f t="shared" si="5"/>
        <v>576</v>
      </c>
      <c r="Y63" s="62"/>
      <c r="Z63" s="143">
        <f>2+60</f>
        <v>62</v>
      </c>
      <c r="AA63" s="13">
        <f t="shared" si="27"/>
        <v>514</v>
      </c>
      <c r="AB63" s="62"/>
      <c r="AC63" s="143">
        <f>3+145</f>
        <v>148</v>
      </c>
      <c r="AD63" s="13">
        <f t="shared" si="28"/>
        <v>366</v>
      </c>
      <c r="AE63" s="62"/>
      <c r="AF63" s="143"/>
      <c r="AG63" s="13">
        <f t="shared" si="29"/>
        <v>366</v>
      </c>
      <c r="AH63" s="61">
        <v>140</v>
      </c>
      <c r="AI63" s="143">
        <f>10+3+145</f>
        <v>158</v>
      </c>
      <c r="AJ63" s="13">
        <f t="shared" si="30"/>
        <v>348</v>
      </c>
      <c r="AK63" s="62">
        <v>280</v>
      </c>
      <c r="AL63" s="143">
        <f>20+145</f>
        <v>165</v>
      </c>
      <c r="AM63" s="13">
        <f t="shared" si="6"/>
        <v>463</v>
      </c>
      <c r="AN63" s="62"/>
      <c r="AO63" s="143"/>
      <c r="AP63" s="13">
        <f t="shared" si="7"/>
        <v>463</v>
      </c>
      <c r="AQ63" s="62">
        <v>420</v>
      </c>
      <c r="AR63" s="143">
        <f>10+2+115</f>
        <v>127</v>
      </c>
      <c r="AS63" s="13">
        <f t="shared" si="8"/>
        <v>756</v>
      </c>
      <c r="AT63" s="62"/>
      <c r="AU63" s="143">
        <f>10+4+110</f>
        <v>124</v>
      </c>
      <c r="AV63" s="13">
        <f t="shared" si="9"/>
        <v>632</v>
      </c>
      <c r="AW63" s="62"/>
      <c r="AX63" s="143">
        <f>20+5+105</f>
        <v>130</v>
      </c>
      <c r="AY63" s="13">
        <f t="shared" si="10"/>
        <v>502</v>
      </c>
      <c r="AZ63" s="62"/>
      <c r="BA63" s="143"/>
      <c r="BB63" s="13">
        <f t="shared" si="11"/>
        <v>502</v>
      </c>
      <c r="BC63" s="62">
        <v>280</v>
      </c>
      <c r="BD63" s="143">
        <f>20+2+140</f>
        <v>162</v>
      </c>
      <c r="BE63" s="13">
        <f t="shared" si="12"/>
        <v>620</v>
      </c>
      <c r="BF63" s="62">
        <v>140</v>
      </c>
      <c r="BG63" s="143">
        <f>20+3+105</f>
        <v>128</v>
      </c>
      <c r="BH63" s="13">
        <f t="shared" si="13"/>
        <v>632</v>
      </c>
      <c r="BI63" s="62"/>
      <c r="BJ63" s="143"/>
      <c r="BK63" s="13">
        <f t="shared" si="14"/>
        <v>632</v>
      </c>
      <c r="BL63" s="62"/>
      <c r="BM63" s="143">
        <f>60+2</f>
        <v>62</v>
      </c>
      <c r="BN63" s="13">
        <f t="shared" si="15"/>
        <v>570</v>
      </c>
      <c r="BO63" s="62"/>
      <c r="BP63" s="143">
        <f>20+3+160</f>
        <v>183</v>
      </c>
      <c r="BQ63" s="13">
        <f t="shared" si="16"/>
        <v>387</v>
      </c>
      <c r="BR63" s="62">
        <v>280</v>
      </c>
      <c r="BS63" s="143">
        <f>5+150</f>
        <v>155</v>
      </c>
      <c r="BT63" s="13">
        <f t="shared" si="17"/>
        <v>512</v>
      </c>
      <c r="BU63" s="62"/>
      <c r="BV63" s="143"/>
      <c r="BW63" s="13">
        <f t="shared" si="18"/>
        <v>512</v>
      </c>
      <c r="BX63" s="175"/>
      <c r="BY63" s="143">
        <f>1+140</f>
        <v>141</v>
      </c>
      <c r="BZ63" s="13">
        <f t="shared" si="19"/>
        <v>371</v>
      </c>
      <c r="CA63" s="62">
        <v>280</v>
      </c>
      <c r="CB63" s="143">
        <f>11+270</f>
        <v>281</v>
      </c>
      <c r="CC63" s="13">
        <f t="shared" si="20"/>
        <v>370</v>
      </c>
      <c r="CD63" s="62"/>
      <c r="CE63" s="143"/>
      <c r="CF63" s="13">
        <f t="shared" si="21"/>
        <v>370</v>
      </c>
      <c r="CG63" s="62">
        <v>87</v>
      </c>
      <c r="CH63" s="143">
        <f>20+2+150</f>
        <v>172</v>
      </c>
      <c r="CI63" s="13">
        <f t="shared" si="31"/>
        <v>285</v>
      </c>
      <c r="CJ63" s="62">
        <v>280</v>
      </c>
      <c r="CK63" s="143">
        <f>20+5+240</f>
        <v>265</v>
      </c>
      <c r="CL63" s="13">
        <f t="shared" si="32"/>
        <v>300</v>
      </c>
      <c r="CM63" s="62">
        <f>140</f>
        <v>140</v>
      </c>
      <c r="CN63" s="143">
        <f>20+3+90</f>
        <v>113</v>
      </c>
      <c r="CO63" s="13">
        <f t="shared" si="22"/>
        <v>327</v>
      </c>
      <c r="CP63" s="62"/>
      <c r="CQ63" s="143"/>
      <c r="CR63" s="13">
        <f t="shared" si="33"/>
        <v>327</v>
      </c>
      <c r="CS63" s="61"/>
      <c r="CT63" s="143">
        <f>8+40</f>
        <v>48</v>
      </c>
      <c r="CU63" s="14">
        <f t="shared" si="23"/>
        <v>279</v>
      </c>
      <c r="CV63" s="5">
        <f t="shared" si="36"/>
        <v>3267</v>
      </c>
      <c r="CW63" s="4">
        <f t="shared" si="36"/>
        <v>3117</v>
      </c>
      <c r="CX63" s="6">
        <f t="shared" si="25"/>
        <v>279</v>
      </c>
      <c r="CY63" s="162">
        <v>61</v>
      </c>
      <c r="CZ63" s="171">
        <f t="shared" si="26"/>
        <v>17019</v>
      </c>
      <c r="DB63" s="2">
        <f t="shared" si="34"/>
        <v>279</v>
      </c>
      <c r="DC63" s="61"/>
      <c r="DD63" s="143"/>
      <c r="DE63" s="149">
        <f t="shared" si="35"/>
        <v>279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5.6999999999999984</v>
      </c>
      <c r="G64" s="62"/>
      <c r="H64" s="143"/>
      <c r="I64" s="13">
        <f t="shared" si="0"/>
        <v>5.6999999999999984</v>
      </c>
      <c r="J64" s="62"/>
      <c r="K64" s="143"/>
      <c r="L64" s="13">
        <f t="shared" si="1"/>
        <v>5.6999999999999984</v>
      </c>
      <c r="M64" s="62"/>
      <c r="N64" s="143"/>
      <c r="O64" s="13">
        <f t="shared" si="2"/>
        <v>5.6999999999999984</v>
      </c>
      <c r="P64" s="62"/>
      <c r="Q64" s="143"/>
      <c r="R64" s="30">
        <f t="shared" si="3"/>
        <v>5.6999999999999984</v>
      </c>
      <c r="S64" s="62"/>
      <c r="T64" s="143"/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1"/>
      <c r="AI64" s="143"/>
      <c r="AJ64" s="13">
        <f t="shared" si="30"/>
        <v>5.6999999999999984</v>
      </c>
      <c r="AK64" s="62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43"/>
      <c r="BB64" s="13">
        <f t="shared" si="11"/>
        <v>5.6999999999999984</v>
      </c>
      <c r="BC64" s="62"/>
      <c r="BD64" s="143"/>
      <c r="BE64" s="13">
        <f t="shared" si="12"/>
        <v>5.6999999999999984</v>
      </c>
      <c r="BF64" s="62"/>
      <c r="BG64" s="143"/>
      <c r="BH64" s="13">
        <f t="shared" si="13"/>
        <v>5.6999999999999984</v>
      </c>
      <c r="BI64" s="62"/>
      <c r="BJ64" s="143"/>
      <c r="BK64" s="13">
        <f t="shared" si="14"/>
        <v>5.6999999999999984</v>
      </c>
      <c r="BL64" s="62"/>
      <c r="BM64" s="143"/>
      <c r="BN64" s="13">
        <f t="shared" si="15"/>
        <v>5.6999999999999984</v>
      </c>
      <c r="BO64" s="62"/>
      <c r="BP64" s="143"/>
      <c r="BQ64" s="13">
        <f t="shared" si="16"/>
        <v>5.6999999999999984</v>
      </c>
      <c r="BR64" s="62"/>
      <c r="BS64" s="143"/>
      <c r="BT64" s="13">
        <f t="shared" si="17"/>
        <v>5.6999999999999984</v>
      </c>
      <c r="BU64" s="62"/>
      <c r="BV64" s="143"/>
      <c r="BW64" s="13">
        <f t="shared" si="18"/>
        <v>5.6999999999999984</v>
      </c>
      <c r="BX64" s="175"/>
      <c r="BY64" s="143"/>
      <c r="BZ64" s="13">
        <f t="shared" si="19"/>
        <v>5.6999999999999984</v>
      </c>
      <c r="CA64" s="62"/>
      <c r="CB64" s="143"/>
      <c r="CC64" s="13">
        <f t="shared" si="20"/>
        <v>5.6999999999999984</v>
      </c>
      <c r="CD64" s="62"/>
      <c r="CE64" s="143"/>
      <c r="CF64" s="13">
        <f t="shared" si="21"/>
        <v>5.6999999999999984</v>
      </c>
      <c r="CG64" s="62"/>
      <c r="CH64" s="143"/>
      <c r="CI64" s="13">
        <f t="shared" si="31"/>
        <v>5.6999999999999984</v>
      </c>
      <c r="CJ64" s="62"/>
      <c r="CK64" s="143"/>
      <c r="CL64" s="13">
        <f t="shared" si="32"/>
        <v>5.6999999999999984</v>
      </c>
      <c r="CM64" s="62"/>
      <c r="CN64" s="143"/>
      <c r="CO64" s="13">
        <f t="shared" si="22"/>
        <v>5.6999999999999984</v>
      </c>
      <c r="CP64" s="62"/>
      <c r="CQ64" s="143"/>
      <c r="CR64" s="13">
        <f t="shared" si="33"/>
        <v>5.6999999999999984</v>
      </c>
      <c r="CS64" s="61"/>
      <c r="CT64" s="143"/>
      <c r="CU64" s="14">
        <f t="shared" si="23"/>
        <v>5.6999999999999984</v>
      </c>
      <c r="CV64" s="5">
        <f t="shared" si="36"/>
        <v>0</v>
      </c>
      <c r="CW64" s="4">
        <f t="shared" si="36"/>
        <v>0</v>
      </c>
      <c r="CX64" s="6">
        <f t="shared" si="25"/>
        <v>5.6999999999999984</v>
      </c>
      <c r="CY64" s="162">
        <v>430</v>
      </c>
      <c r="CZ64" s="171">
        <f t="shared" si="26"/>
        <v>2450.9999999999991</v>
      </c>
      <c r="DB64" s="2">
        <f t="shared" si="34"/>
        <v>5.6999999999999984</v>
      </c>
      <c r="DC64" s="61"/>
      <c r="DD64" s="143"/>
      <c r="DE64" s="149">
        <f t="shared" si="35"/>
        <v>5.6999999999999984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3</v>
      </c>
      <c r="G65" s="62">
        <f>-4+9</f>
        <v>5</v>
      </c>
      <c r="H65" s="143">
        <f>3+2+2</f>
        <v>7</v>
      </c>
      <c r="I65" s="13">
        <f t="shared" si="0"/>
        <v>1</v>
      </c>
      <c r="J65" s="62"/>
      <c r="K65" s="143"/>
      <c r="L65" s="13">
        <f t="shared" si="1"/>
        <v>1</v>
      </c>
      <c r="M65" s="62">
        <f>-1+5</f>
        <v>4</v>
      </c>
      <c r="N65" s="143">
        <f>1+4</f>
        <v>5</v>
      </c>
      <c r="O65" s="13">
        <f t="shared" si="2"/>
        <v>0</v>
      </c>
      <c r="P65" s="62">
        <v>22</v>
      </c>
      <c r="Q65" s="143">
        <f>6+2+9+3</f>
        <v>20</v>
      </c>
      <c r="R65" s="30">
        <f t="shared" si="3"/>
        <v>2</v>
      </c>
      <c r="S65" s="62"/>
      <c r="T65" s="143"/>
      <c r="U65" s="13">
        <f t="shared" si="4"/>
        <v>2</v>
      </c>
      <c r="V65" s="62">
        <f>-1+2</f>
        <v>1</v>
      </c>
      <c r="W65" s="143">
        <f>2</f>
        <v>2</v>
      </c>
      <c r="X65" s="13">
        <f t="shared" si="5"/>
        <v>1</v>
      </c>
      <c r="Y65" s="62">
        <v>10</v>
      </c>
      <c r="Z65" s="143">
        <f>1+5</f>
        <v>6</v>
      </c>
      <c r="AA65" s="13">
        <f t="shared" si="27"/>
        <v>5</v>
      </c>
      <c r="AB65" s="62">
        <v>10</v>
      </c>
      <c r="AC65" s="143">
        <f>5+3+3</f>
        <v>11</v>
      </c>
      <c r="AD65" s="13">
        <f t="shared" si="28"/>
        <v>4</v>
      </c>
      <c r="AE65" s="62"/>
      <c r="AF65" s="143"/>
      <c r="AG65" s="13">
        <f t="shared" si="29"/>
        <v>4</v>
      </c>
      <c r="AH65" s="61">
        <f>1+2</f>
        <v>3</v>
      </c>
      <c r="AI65" s="143">
        <f>1+4</f>
        <v>5</v>
      </c>
      <c r="AJ65" s="13">
        <f t="shared" si="30"/>
        <v>2</v>
      </c>
      <c r="AK65" s="62">
        <v>13</v>
      </c>
      <c r="AL65" s="143">
        <f>2+6+2</f>
        <v>10</v>
      </c>
      <c r="AM65" s="13">
        <f t="shared" si="6"/>
        <v>5</v>
      </c>
      <c r="AN65" s="62"/>
      <c r="AO65" s="143"/>
      <c r="AP65" s="13">
        <f t="shared" si="7"/>
        <v>5</v>
      </c>
      <c r="AQ65" s="62"/>
      <c r="AR65" s="143">
        <f>1+2+1</f>
        <v>4</v>
      </c>
      <c r="AS65" s="13">
        <f t="shared" si="8"/>
        <v>1</v>
      </c>
      <c r="AT65" s="62">
        <v>7</v>
      </c>
      <c r="AU65" s="143">
        <v>5</v>
      </c>
      <c r="AV65" s="13">
        <f t="shared" si="9"/>
        <v>3</v>
      </c>
      <c r="AW65" s="62">
        <v>9</v>
      </c>
      <c r="AX65" s="143">
        <v>7</v>
      </c>
      <c r="AY65" s="13">
        <f t="shared" si="10"/>
        <v>5</v>
      </c>
      <c r="AZ65" s="62"/>
      <c r="BA65" s="143"/>
      <c r="BB65" s="13">
        <f t="shared" si="11"/>
        <v>5</v>
      </c>
      <c r="BC65" s="62">
        <v>13</v>
      </c>
      <c r="BD65" s="143">
        <f>3+3+3</f>
        <v>9</v>
      </c>
      <c r="BE65" s="13">
        <f t="shared" si="12"/>
        <v>9</v>
      </c>
      <c r="BF65" s="62">
        <v>22</v>
      </c>
      <c r="BG65" s="143">
        <f>6+3+9+2</f>
        <v>20</v>
      </c>
      <c r="BH65" s="13">
        <f t="shared" si="13"/>
        <v>11</v>
      </c>
      <c r="BI65" s="62"/>
      <c r="BJ65" s="143"/>
      <c r="BK65" s="13">
        <f t="shared" si="14"/>
        <v>11</v>
      </c>
      <c r="BL65" s="62"/>
      <c r="BM65" s="143">
        <v>2</v>
      </c>
      <c r="BN65" s="13">
        <f t="shared" si="15"/>
        <v>9</v>
      </c>
      <c r="BO65" s="62"/>
      <c r="BP65" s="143">
        <v>1</v>
      </c>
      <c r="BQ65" s="13">
        <f t="shared" si="16"/>
        <v>8</v>
      </c>
      <c r="BR65" s="62"/>
      <c r="BS65" s="143">
        <f>3+3</f>
        <v>6</v>
      </c>
      <c r="BT65" s="13">
        <f t="shared" si="17"/>
        <v>2</v>
      </c>
      <c r="BU65" s="62"/>
      <c r="BV65" s="143"/>
      <c r="BW65" s="13">
        <f t="shared" si="18"/>
        <v>2</v>
      </c>
      <c r="BX65" s="175">
        <v>1</v>
      </c>
      <c r="BY65" s="193">
        <v>2</v>
      </c>
      <c r="BZ65" s="13">
        <f t="shared" si="19"/>
        <v>1</v>
      </c>
      <c r="CA65" s="62">
        <v>18</v>
      </c>
      <c r="CB65" s="143">
        <f>1+9+6</f>
        <v>16</v>
      </c>
      <c r="CC65" s="13">
        <f t="shared" si="20"/>
        <v>3</v>
      </c>
      <c r="CD65" s="62"/>
      <c r="CE65" s="143"/>
      <c r="CF65" s="13">
        <f t="shared" si="21"/>
        <v>3</v>
      </c>
      <c r="CG65" s="62"/>
      <c r="CH65" s="143">
        <f>2</f>
        <v>2</v>
      </c>
      <c r="CI65" s="13">
        <f t="shared" si="31"/>
        <v>1</v>
      </c>
      <c r="CJ65" s="62">
        <v>4</v>
      </c>
      <c r="CK65" s="143">
        <v>5</v>
      </c>
      <c r="CL65" s="13">
        <f t="shared" si="32"/>
        <v>0</v>
      </c>
      <c r="CM65" s="62">
        <v>1</v>
      </c>
      <c r="CN65" s="143"/>
      <c r="CO65" s="13">
        <f t="shared" si="22"/>
        <v>1</v>
      </c>
      <c r="CP65" s="62"/>
      <c r="CQ65" s="143"/>
      <c r="CR65" s="13">
        <f t="shared" si="33"/>
        <v>1</v>
      </c>
      <c r="CS65" s="61">
        <f>-2+18+1</f>
        <v>17</v>
      </c>
      <c r="CT65" s="143">
        <v>1</v>
      </c>
      <c r="CU65" s="14">
        <f t="shared" si="23"/>
        <v>17</v>
      </c>
      <c r="CV65" s="5">
        <f t="shared" si="36"/>
        <v>160</v>
      </c>
      <c r="CW65" s="4">
        <f t="shared" si="36"/>
        <v>146</v>
      </c>
      <c r="CX65" s="6">
        <f t="shared" si="25"/>
        <v>17</v>
      </c>
      <c r="CY65" s="162">
        <v>95</v>
      </c>
      <c r="CZ65" s="171">
        <f t="shared" si="26"/>
        <v>1615</v>
      </c>
      <c r="DB65" s="2">
        <f t="shared" si="34"/>
        <v>17</v>
      </c>
      <c r="DC65" s="61"/>
      <c r="DD65" s="143">
        <f>4+6+2+2+2</f>
        <v>16</v>
      </c>
      <c r="DE65" s="149">
        <f t="shared" si="35"/>
        <v>1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/>
      <c r="Q66" s="143"/>
      <c r="R66" s="30">
        <f t="shared" si="3"/>
        <v>0</v>
      </c>
      <c r="S66" s="62"/>
      <c r="T66" s="143"/>
      <c r="U66" s="13">
        <f t="shared" si="4"/>
        <v>0</v>
      </c>
      <c r="V66" s="62"/>
      <c r="W66" s="143"/>
      <c r="X66" s="13">
        <f t="shared" si="5"/>
        <v>0</v>
      </c>
      <c r="Y66" s="62"/>
      <c r="Z66" s="143"/>
      <c r="AA66" s="13">
        <f t="shared" si="27"/>
        <v>0</v>
      </c>
      <c r="AB66" s="62"/>
      <c r="AC66" s="143"/>
      <c r="AD66" s="13">
        <f t="shared" si="28"/>
        <v>0</v>
      </c>
      <c r="AE66" s="62"/>
      <c r="AF66" s="143"/>
      <c r="AG66" s="13">
        <f t="shared" si="29"/>
        <v>0</v>
      </c>
      <c r="AH66" s="61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175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0</v>
      </c>
      <c r="CW66" s="4">
        <f t="shared" si="36"/>
        <v>0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1"/>
      <c r="AI67" s="143"/>
      <c r="AJ67" s="13">
        <f t="shared" si="30"/>
        <v>0</v>
      </c>
      <c r="AK67" s="62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175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1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175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56"/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1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175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281</v>
      </c>
      <c r="C70" s="104" t="s">
        <v>21</v>
      </c>
      <c r="D70" s="34"/>
      <c r="E70" s="34"/>
      <c r="F70" s="14">
        <v>0</v>
      </c>
      <c r="G70" s="62"/>
      <c r="H70" s="143"/>
      <c r="I70" s="13">
        <f>F70+G70-H70</f>
        <v>0</v>
      </c>
      <c r="J70" s="62"/>
      <c r="K70" s="143"/>
      <c r="L70" s="13">
        <f>I70+J70-K70</f>
        <v>0</v>
      </c>
      <c r="M70" s="189">
        <v>27</v>
      </c>
      <c r="N70" s="143">
        <v>16</v>
      </c>
      <c r="O70" s="13">
        <f>L70+M70-N70</f>
        <v>11</v>
      </c>
      <c r="P70" s="62"/>
      <c r="Q70" s="143"/>
      <c r="R70" s="30">
        <f>O70+P70-Q70</f>
        <v>11</v>
      </c>
      <c r="S70" s="62"/>
      <c r="T70" s="143"/>
      <c r="U70" s="13">
        <f>R70+S70-T70</f>
        <v>11</v>
      </c>
      <c r="V70" s="62"/>
      <c r="W70" s="143"/>
      <c r="X70" s="13">
        <f>U70+V70-W70</f>
        <v>11</v>
      </c>
      <c r="Y70" s="62"/>
      <c r="Z70" s="143"/>
      <c r="AA70" s="13">
        <f>X70+Y70-Z70</f>
        <v>11</v>
      </c>
      <c r="AB70" s="62"/>
      <c r="AC70" s="143"/>
      <c r="AD70" s="13">
        <f>AA70+AB70-AC70</f>
        <v>11</v>
      </c>
      <c r="AE70" s="62"/>
      <c r="AF70" s="143"/>
      <c r="AG70" s="13">
        <f>AD70+AE70-AF70</f>
        <v>11</v>
      </c>
      <c r="AH70" s="61"/>
      <c r="AI70" s="143"/>
      <c r="AJ70" s="13">
        <f>AG70+AH70-AI70</f>
        <v>11</v>
      </c>
      <c r="AK70" s="62"/>
      <c r="AL70" s="143"/>
      <c r="AM70" s="13">
        <f>AJ70+AK70-AL70</f>
        <v>11</v>
      </c>
      <c r="AN70" s="62"/>
      <c r="AO70" s="143"/>
      <c r="AP70" s="13">
        <f>AM70+AN70-AO70</f>
        <v>11</v>
      </c>
      <c r="AQ70" s="62"/>
      <c r="AR70" s="143"/>
      <c r="AS70" s="13">
        <f>AP70+AQ70-AR70</f>
        <v>11</v>
      </c>
      <c r="AT70" s="62"/>
      <c r="AU70" s="143"/>
      <c r="AV70" s="13">
        <f>AS70+AT70-AU70</f>
        <v>11</v>
      </c>
      <c r="AW70" s="62"/>
      <c r="AX70" s="143"/>
      <c r="AY70" s="13">
        <f>AV70+AW70-AX70</f>
        <v>11</v>
      </c>
      <c r="AZ70" s="62"/>
      <c r="BA70" s="143"/>
      <c r="BB70" s="13">
        <f>AY70+AZ70-BA70</f>
        <v>11</v>
      </c>
      <c r="BC70" s="62">
        <v>37</v>
      </c>
      <c r="BD70" s="143">
        <v>16</v>
      </c>
      <c r="BE70" s="13">
        <f>BB70+BC70-BD70</f>
        <v>32</v>
      </c>
      <c r="BF70" s="62"/>
      <c r="BG70" s="143"/>
      <c r="BH70" s="13">
        <f>BE70+BF70-BG70</f>
        <v>32</v>
      </c>
      <c r="BI70" s="62"/>
      <c r="BJ70" s="143"/>
      <c r="BK70" s="13">
        <f>BH70+BI70-BJ70</f>
        <v>32</v>
      </c>
      <c r="BL70" s="62"/>
      <c r="BM70" s="143"/>
      <c r="BN70" s="13">
        <f>BK70+BL70-BM70</f>
        <v>32</v>
      </c>
      <c r="BO70" s="62"/>
      <c r="BP70" s="143"/>
      <c r="BQ70" s="13">
        <f>BN70+BO70-BP70</f>
        <v>32</v>
      </c>
      <c r="BR70" s="62"/>
      <c r="BS70" s="143"/>
      <c r="BT70" s="13">
        <f t="shared" si="37"/>
        <v>32</v>
      </c>
      <c r="BU70" s="62"/>
      <c r="BV70" s="143"/>
      <c r="BW70" s="13">
        <f>BT70+BU70-BV70</f>
        <v>32</v>
      </c>
      <c r="BX70" s="175"/>
      <c r="BY70" s="143"/>
      <c r="BZ70" s="13">
        <f t="shared" si="38"/>
        <v>32</v>
      </c>
      <c r="CA70" s="62"/>
      <c r="CB70" s="143"/>
      <c r="CC70" s="13">
        <f t="shared" si="39"/>
        <v>32</v>
      </c>
      <c r="CD70" s="62"/>
      <c r="CE70" s="143"/>
      <c r="CF70" s="13">
        <f t="shared" si="40"/>
        <v>32</v>
      </c>
      <c r="CG70" s="62"/>
      <c r="CH70" s="143"/>
      <c r="CI70" s="13">
        <f t="shared" ref="CI70:CI85" si="46">CF70+CG70-CH70</f>
        <v>32</v>
      </c>
      <c r="CJ70" s="62"/>
      <c r="CK70" s="143"/>
      <c r="CL70" s="13">
        <f t="shared" ref="CL70:CL85" si="47">CI70+CJ70-CK70</f>
        <v>32</v>
      </c>
      <c r="CM70" s="62"/>
      <c r="CN70" s="143"/>
      <c r="CO70" s="13">
        <f t="shared" si="41"/>
        <v>32</v>
      </c>
      <c r="CP70" s="62"/>
      <c r="CQ70" s="143"/>
      <c r="CR70" s="13">
        <f t="shared" ref="CR70:CR85" si="48">CO70+CP70-CQ70</f>
        <v>32</v>
      </c>
      <c r="CS70" s="62"/>
      <c r="CT70" s="143"/>
      <c r="CU70" s="14">
        <f t="shared" si="42"/>
        <v>32</v>
      </c>
      <c r="CV70" s="5">
        <f t="shared" si="43"/>
        <v>64</v>
      </c>
      <c r="CW70" s="4">
        <f t="shared" si="43"/>
        <v>32</v>
      </c>
      <c r="CX70" s="6">
        <f t="shared" si="44"/>
        <v>32</v>
      </c>
      <c r="CY70" s="162">
        <v>152</v>
      </c>
      <c r="CZ70" s="171">
        <f t="shared" si="45"/>
        <v>4864</v>
      </c>
      <c r="DB70" s="2">
        <f t="shared" ref="DB70:DB93" si="49">CU70</f>
        <v>32</v>
      </c>
      <c r="DC70" s="62"/>
      <c r="DD70" s="143"/>
      <c r="DE70" s="149">
        <f t="shared" si="35"/>
        <v>32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16</v>
      </c>
      <c r="G71" s="62"/>
      <c r="H71" s="143"/>
      <c r="I71" s="13">
        <f>F71+G71-H71</f>
        <v>16</v>
      </c>
      <c r="J71" s="62"/>
      <c r="K71" s="143"/>
      <c r="L71" s="13">
        <f>I71+J71-K71</f>
        <v>16</v>
      </c>
      <c r="M71" s="62"/>
      <c r="N71" s="143"/>
      <c r="O71" s="13">
        <f>L71+M71-N71</f>
        <v>16</v>
      </c>
      <c r="P71" s="62">
        <v>32</v>
      </c>
      <c r="Q71" s="143">
        <f>2+14</f>
        <v>16</v>
      </c>
      <c r="R71" s="13">
        <f>O71+P71-Q71</f>
        <v>32</v>
      </c>
      <c r="S71" s="62"/>
      <c r="T71" s="143"/>
      <c r="U71" s="13">
        <f>R71+S71-T71</f>
        <v>32</v>
      </c>
      <c r="V71" s="62"/>
      <c r="W71" s="143">
        <f>2</f>
        <v>2</v>
      </c>
      <c r="X71" s="13">
        <f>U71+V71-W71</f>
        <v>30</v>
      </c>
      <c r="Y71" s="62"/>
      <c r="Z71" s="143">
        <f>2</f>
        <v>2</v>
      </c>
      <c r="AA71" s="13">
        <f>X71+Y71-Z71</f>
        <v>28</v>
      </c>
      <c r="AB71" s="62"/>
      <c r="AC71" s="143">
        <v>9</v>
      </c>
      <c r="AD71" s="13">
        <f>AA71+AB71-AC71</f>
        <v>19</v>
      </c>
      <c r="AE71" s="62"/>
      <c r="AF71" s="143"/>
      <c r="AG71" s="13">
        <f>AD71+AE71-AF71</f>
        <v>19</v>
      </c>
      <c r="AH71" s="61"/>
      <c r="AI71" s="143">
        <f>5+5</f>
        <v>10</v>
      </c>
      <c r="AJ71" s="13">
        <f>AG71+AH71-AI71</f>
        <v>9</v>
      </c>
      <c r="AK71" s="62"/>
      <c r="AL71" s="143"/>
      <c r="AM71" s="13">
        <f>AJ71+AK71-AL71</f>
        <v>9</v>
      </c>
      <c r="AN71" s="62"/>
      <c r="AO71" s="143"/>
      <c r="AP71" s="13">
        <f>AM71+AN71-AO71</f>
        <v>9</v>
      </c>
      <c r="AQ71" s="62"/>
      <c r="AR71" s="143">
        <f>2</f>
        <v>2</v>
      </c>
      <c r="AS71" s="13">
        <f>AP71+AQ71-AR71</f>
        <v>7</v>
      </c>
      <c r="AT71" s="62"/>
      <c r="AU71" s="143"/>
      <c r="AV71" s="13">
        <f>AS71+AT71-AU71</f>
        <v>7</v>
      </c>
      <c r="AW71" s="62"/>
      <c r="AX71" s="143"/>
      <c r="AY71" s="13">
        <f>AV71+AW71-AX71</f>
        <v>7</v>
      </c>
      <c r="AZ71" s="62"/>
      <c r="BA71" s="143"/>
      <c r="BB71" s="13">
        <f>AY71+AZ71-BA71</f>
        <v>7</v>
      </c>
      <c r="BC71" s="62"/>
      <c r="BD71" s="143">
        <v>6</v>
      </c>
      <c r="BE71" s="13">
        <f>BB71+BC71-BD71</f>
        <v>1</v>
      </c>
      <c r="BF71" s="62"/>
      <c r="BG71" s="143"/>
      <c r="BH71" s="13">
        <f>BE71+BF71-BG71</f>
        <v>1</v>
      </c>
      <c r="BI71" s="62"/>
      <c r="BJ71" s="143"/>
      <c r="BK71" s="13">
        <f>BH71+BI71-BJ71</f>
        <v>1</v>
      </c>
      <c r="BL71" s="62"/>
      <c r="BM71" s="143"/>
      <c r="BN71" s="13">
        <f>BK71+BL71-BM71</f>
        <v>1</v>
      </c>
      <c r="BO71" s="62"/>
      <c r="BP71" s="143"/>
      <c r="BQ71" s="13">
        <f>BN71+BO71-BP71</f>
        <v>1</v>
      </c>
      <c r="BR71" s="62"/>
      <c r="BS71" s="143"/>
      <c r="BT71" s="13">
        <f t="shared" si="37"/>
        <v>1</v>
      </c>
      <c r="BU71" s="62"/>
      <c r="BV71" s="143"/>
      <c r="BW71" s="13">
        <f>BT71+BU71-BV71</f>
        <v>1</v>
      </c>
      <c r="BX71" s="175">
        <v>32</v>
      </c>
      <c r="BY71" s="143">
        <v>9</v>
      </c>
      <c r="BZ71" s="13">
        <f t="shared" si="38"/>
        <v>24</v>
      </c>
      <c r="CA71" s="62"/>
      <c r="CB71" s="143">
        <v>4</v>
      </c>
      <c r="CC71" s="13">
        <f t="shared" si="39"/>
        <v>20</v>
      </c>
      <c r="CD71" s="62"/>
      <c r="CE71" s="143"/>
      <c r="CF71" s="13">
        <f t="shared" si="40"/>
        <v>20</v>
      </c>
      <c r="CG71" s="62"/>
      <c r="CH71" s="143"/>
      <c r="CI71" s="13">
        <f t="shared" si="46"/>
        <v>20</v>
      </c>
      <c r="CJ71" s="62"/>
      <c r="CK71" s="143"/>
      <c r="CL71" s="13">
        <f t="shared" si="47"/>
        <v>20</v>
      </c>
      <c r="CM71" s="62"/>
      <c r="CN71" s="143">
        <v>13</v>
      </c>
      <c r="CO71" s="13">
        <f t="shared" si="41"/>
        <v>7</v>
      </c>
      <c r="CP71" s="62"/>
      <c r="CQ71" s="143"/>
      <c r="CR71" s="13">
        <f t="shared" si="48"/>
        <v>7</v>
      </c>
      <c r="CS71" s="62">
        <v>32</v>
      </c>
      <c r="CT71" s="143"/>
      <c r="CU71" s="14">
        <f t="shared" si="42"/>
        <v>39</v>
      </c>
      <c r="CV71" s="5">
        <f t="shared" si="43"/>
        <v>96</v>
      </c>
      <c r="CW71" s="4">
        <f t="shared" si="43"/>
        <v>73</v>
      </c>
      <c r="CX71" s="6">
        <f t="shared" si="44"/>
        <v>39</v>
      </c>
      <c r="CY71" s="162">
        <v>188</v>
      </c>
      <c r="CZ71" s="171">
        <f t="shared" si="45"/>
        <v>7332</v>
      </c>
      <c r="DB71" s="2">
        <f t="shared" si="49"/>
        <v>39</v>
      </c>
      <c r="DC71" s="62"/>
      <c r="DD71" s="143">
        <f>8+5</f>
        <v>13</v>
      </c>
      <c r="DE71" s="149">
        <f t="shared" ref="DE71:DE93" si="50">DC71+DB71-DD71</f>
        <v>26</v>
      </c>
    </row>
    <row r="72" spans="1:109" ht="15.75" customHeight="1">
      <c r="A72" s="33"/>
      <c r="B72" s="157" t="s">
        <v>208</v>
      </c>
      <c r="C72" s="158" t="s">
        <v>21</v>
      </c>
      <c r="D72" s="159"/>
      <c r="E72" s="159"/>
      <c r="F72" s="14">
        <v>0</v>
      </c>
      <c r="G72" s="62"/>
      <c r="H72" s="143"/>
      <c r="I72" s="13">
        <f>F72+G72-H72</f>
        <v>0</v>
      </c>
      <c r="J72" s="62"/>
      <c r="K72" s="143"/>
      <c r="L72" s="13">
        <f>I72+J72-K72</f>
        <v>0</v>
      </c>
      <c r="M72" s="62"/>
      <c r="N72" s="143"/>
      <c r="O72" s="13">
        <f>L72+M72-N72</f>
        <v>0</v>
      </c>
      <c r="P72" s="62"/>
      <c r="Q72" s="143"/>
      <c r="R72" s="30">
        <f>O72+P72-Q72</f>
        <v>0</v>
      </c>
      <c r="S72" s="62"/>
      <c r="T72" s="143"/>
      <c r="U72" s="13">
        <f>R72+S72-T72</f>
        <v>0</v>
      </c>
      <c r="V72" s="62"/>
      <c r="W72" s="143"/>
      <c r="X72" s="13">
        <f>U72+V72-W72</f>
        <v>0</v>
      </c>
      <c r="Y72" s="62"/>
      <c r="Z72" s="143"/>
      <c r="AA72" s="13">
        <f>X72+Y72-Z72</f>
        <v>0</v>
      </c>
      <c r="AB72" s="62"/>
      <c r="AC72" s="143"/>
      <c r="AD72" s="13">
        <f>AA72+AB72-AC72</f>
        <v>0</v>
      </c>
      <c r="AE72" s="62"/>
      <c r="AF72" s="143"/>
      <c r="AG72" s="13">
        <f>AD72+AE72-AF72</f>
        <v>0</v>
      </c>
      <c r="AH72" s="61"/>
      <c r="AI72" s="143"/>
      <c r="AJ72" s="13">
        <f>AG72+AH72-AI72</f>
        <v>0</v>
      </c>
      <c r="AK72" s="62"/>
      <c r="AL72" s="143"/>
      <c r="AM72" s="13">
        <f>AJ72+AK72-AL72</f>
        <v>0</v>
      </c>
      <c r="AN72" s="62"/>
      <c r="AO72" s="143"/>
      <c r="AP72" s="13">
        <f>AM72+AN72-AO72</f>
        <v>0</v>
      </c>
      <c r="AQ72" s="62"/>
      <c r="AR72" s="143"/>
      <c r="AS72" s="13">
        <f>AP72+AQ72-AR72</f>
        <v>0</v>
      </c>
      <c r="AT72" s="62"/>
      <c r="AU72" s="143"/>
      <c r="AV72" s="13">
        <f>AS72+AT72-AU72</f>
        <v>0</v>
      </c>
      <c r="AW72" s="62"/>
      <c r="AX72" s="143"/>
      <c r="AY72" s="13">
        <f>AV72+AW72-AX72</f>
        <v>0</v>
      </c>
      <c r="AZ72" s="62"/>
      <c r="BA72" s="143"/>
      <c r="BB72" s="13">
        <f>AY72+AZ72-BA72</f>
        <v>0</v>
      </c>
      <c r="BC72" s="62"/>
      <c r="BD72" s="143"/>
      <c r="BE72" s="13">
        <f>BB72+BC72-BD72</f>
        <v>0</v>
      </c>
      <c r="BF72" s="62"/>
      <c r="BG72" s="143"/>
      <c r="BH72" s="13">
        <f>BE72+BF72-BG72</f>
        <v>0</v>
      </c>
      <c r="BI72" s="62"/>
      <c r="BJ72" s="143"/>
      <c r="BK72" s="13">
        <f>BH72+BI72-BJ72</f>
        <v>0</v>
      </c>
      <c r="BL72" s="62"/>
      <c r="BM72" s="143"/>
      <c r="BN72" s="13">
        <f>BK72+BL72-BM72</f>
        <v>0</v>
      </c>
      <c r="BO72" s="62"/>
      <c r="BP72" s="143"/>
      <c r="BQ72" s="13">
        <f>BN72+BO72-BP72</f>
        <v>0</v>
      </c>
      <c r="BR72" s="62"/>
      <c r="BS72" s="143"/>
      <c r="BT72" s="13">
        <f t="shared" si="37"/>
        <v>0</v>
      </c>
      <c r="BU72" s="62"/>
      <c r="BV72" s="143"/>
      <c r="BW72" s="13">
        <f>BT72+BU72-BV72</f>
        <v>0</v>
      </c>
      <c r="BX72" s="175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2</v>
      </c>
      <c r="G73" s="62"/>
      <c r="H73" s="143"/>
      <c r="I73" s="13">
        <f t="shared" ref="I73:I76" si="51">F73+G73-H73</f>
        <v>2</v>
      </c>
      <c r="J73" s="62"/>
      <c r="K73" s="143"/>
      <c r="L73" s="13">
        <f t="shared" ref="L73:L77" si="52">I73+J73-K73</f>
        <v>2</v>
      </c>
      <c r="M73" s="62"/>
      <c r="N73" s="143"/>
      <c r="O73" s="13">
        <f t="shared" ref="O73:O77" si="53">L73+M73-N73</f>
        <v>2</v>
      </c>
      <c r="P73" s="62"/>
      <c r="Q73" s="143"/>
      <c r="R73" s="30">
        <f t="shared" ref="R73:R77" si="54">O73+P73-Q73</f>
        <v>2</v>
      </c>
      <c r="S73" s="62"/>
      <c r="T73" s="143"/>
      <c r="U73" s="13">
        <f t="shared" ref="U73:U76" si="55">R73+S73-T73</f>
        <v>2</v>
      </c>
      <c r="V73" s="62"/>
      <c r="W73" s="143"/>
      <c r="X73" s="13">
        <f t="shared" ref="X73:X77" si="56">U73+V73-W73</f>
        <v>2</v>
      </c>
      <c r="Y73" s="62"/>
      <c r="Z73" s="143"/>
      <c r="AA73" s="13">
        <f t="shared" ref="AA73:AA93" si="57">X73+Y73-Z73</f>
        <v>2</v>
      </c>
      <c r="AB73" s="62"/>
      <c r="AC73" s="143"/>
      <c r="AD73" s="13">
        <f t="shared" ref="AD73:AD77" si="58">AA73+AB73-AC73</f>
        <v>2</v>
      </c>
      <c r="AE73" s="62"/>
      <c r="AF73" s="143"/>
      <c r="AG73" s="13">
        <f t="shared" ref="AG73:AG77" si="59">AD73+AE73-AF73</f>
        <v>2</v>
      </c>
      <c r="AH73" s="61"/>
      <c r="AI73" s="143"/>
      <c r="AJ73" s="13">
        <f t="shared" ref="AJ73:AJ77" si="60">AG73+AH73-AI73</f>
        <v>2</v>
      </c>
      <c r="AK73" s="62"/>
      <c r="AL73" s="143"/>
      <c r="AM73" s="13">
        <f t="shared" ref="AM73:AM77" si="61">AJ73+AK73-AL73</f>
        <v>2</v>
      </c>
      <c r="AN73" s="62"/>
      <c r="AO73" s="143"/>
      <c r="AP73" s="13">
        <f t="shared" ref="AP73:AP77" si="62">AM73+AN73-AO73</f>
        <v>2</v>
      </c>
      <c r="AQ73" s="62"/>
      <c r="AR73" s="143"/>
      <c r="AS73" s="13">
        <f t="shared" ref="AS73:AS77" si="63">AP73+AQ73-AR73</f>
        <v>2</v>
      </c>
      <c r="AT73" s="62"/>
      <c r="AU73" s="143"/>
      <c r="AV73" s="13">
        <f t="shared" ref="AV73:AV77" si="64">AS73+AT73-AU73</f>
        <v>2</v>
      </c>
      <c r="AW73" s="62"/>
      <c r="AX73" s="143"/>
      <c r="AY73" s="13">
        <f t="shared" ref="AY73:AY77" si="65">AV73+AW73-AX73</f>
        <v>2</v>
      </c>
      <c r="AZ73" s="62"/>
      <c r="BA73" s="143"/>
      <c r="BB73" s="13">
        <f t="shared" ref="BB73:BB77" si="66">AY73+AZ73-BA73</f>
        <v>2</v>
      </c>
      <c r="BC73" s="62"/>
      <c r="BD73" s="143"/>
      <c r="BE73" s="13">
        <f t="shared" ref="BE73:BE77" si="67">BB73+BC73-BD73</f>
        <v>2</v>
      </c>
      <c r="BF73" s="62"/>
      <c r="BG73" s="143"/>
      <c r="BH73" s="13">
        <f t="shared" ref="BH73:BH77" si="68">BE73+BF73-BG73</f>
        <v>2</v>
      </c>
      <c r="BI73" s="62"/>
      <c r="BJ73" s="143"/>
      <c r="BK73" s="13">
        <f t="shared" ref="BK73:BK77" si="69">BH73+BI73-BJ73</f>
        <v>2</v>
      </c>
      <c r="BL73" s="62"/>
      <c r="BM73" s="143"/>
      <c r="BN73" s="13">
        <f t="shared" ref="BN73:BN77" si="70">BK73+BL73-BM73</f>
        <v>2</v>
      </c>
      <c r="BO73" s="62"/>
      <c r="BP73" s="143"/>
      <c r="BQ73" s="13">
        <f t="shared" ref="BQ73:BQ77" si="71">BN73+BO73-BP73</f>
        <v>2</v>
      </c>
      <c r="BR73" s="62"/>
      <c r="BS73" s="143"/>
      <c r="BT73" s="13">
        <f t="shared" si="37"/>
        <v>2</v>
      </c>
      <c r="BU73" s="62"/>
      <c r="BV73" s="143"/>
      <c r="BW73" s="13">
        <f t="shared" ref="BW73:BW77" si="72">BT73+BU73-BV73</f>
        <v>2</v>
      </c>
      <c r="BX73" s="175"/>
      <c r="BY73" s="143"/>
      <c r="BZ73" s="13">
        <f t="shared" si="38"/>
        <v>2</v>
      </c>
      <c r="CA73" s="62"/>
      <c r="CB73" s="143"/>
      <c r="CC73" s="13">
        <f t="shared" si="39"/>
        <v>2</v>
      </c>
      <c r="CD73" s="62"/>
      <c r="CE73" s="143"/>
      <c r="CF73" s="13">
        <f t="shared" si="40"/>
        <v>2</v>
      </c>
      <c r="CG73" s="62"/>
      <c r="CH73" s="143"/>
      <c r="CI73" s="13">
        <f t="shared" si="46"/>
        <v>2</v>
      </c>
      <c r="CJ73" s="62"/>
      <c r="CK73" s="143"/>
      <c r="CL73" s="13">
        <f t="shared" si="47"/>
        <v>2</v>
      </c>
      <c r="CM73" s="62"/>
      <c r="CN73" s="143"/>
      <c r="CO73" s="13">
        <f t="shared" si="41"/>
        <v>2</v>
      </c>
      <c r="CP73" s="62"/>
      <c r="CQ73" s="143"/>
      <c r="CR73" s="13">
        <f t="shared" si="48"/>
        <v>2</v>
      </c>
      <c r="CS73" s="62"/>
      <c r="CT73" s="143"/>
      <c r="CU73" s="14">
        <f t="shared" si="42"/>
        <v>2</v>
      </c>
      <c r="CV73" s="5">
        <f t="shared" si="43"/>
        <v>0</v>
      </c>
      <c r="CW73" s="4">
        <f t="shared" si="43"/>
        <v>0</v>
      </c>
      <c r="CX73" s="6">
        <f t="shared" si="44"/>
        <v>2</v>
      </c>
      <c r="CY73" s="162">
        <v>167</v>
      </c>
      <c r="CZ73" s="171">
        <f t="shared" si="45"/>
        <v>334</v>
      </c>
      <c r="DB73" s="2">
        <f t="shared" si="49"/>
        <v>2</v>
      </c>
      <c r="DC73" s="62"/>
      <c r="DD73" s="143"/>
      <c r="DE73" s="149">
        <f t="shared" si="50"/>
        <v>2</v>
      </c>
    </row>
    <row r="74" spans="1:109" ht="15.75" customHeight="1">
      <c r="A74" s="33"/>
      <c r="B74" s="3" t="s">
        <v>265</v>
      </c>
      <c r="C74" s="104" t="s">
        <v>21</v>
      </c>
      <c r="D74" s="34"/>
      <c r="E74" s="34" t="s">
        <v>242</v>
      </c>
      <c r="F74" s="14">
        <v>20</v>
      </c>
      <c r="G74" s="62"/>
      <c r="H74" s="143"/>
      <c r="I74" s="13">
        <f t="shared" si="51"/>
        <v>20</v>
      </c>
      <c r="J74" s="62"/>
      <c r="K74" s="143"/>
      <c r="L74" s="13">
        <f t="shared" si="52"/>
        <v>20</v>
      </c>
      <c r="M74" s="62"/>
      <c r="N74" s="143"/>
      <c r="O74" s="13">
        <f t="shared" si="53"/>
        <v>20</v>
      </c>
      <c r="P74" s="62">
        <v>52</v>
      </c>
      <c r="Q74" s="143">
        <v>40</v>
      </c>
      <c r="R74" s="30">
        <f t="shared" si="54"/>
        <v>32</v>
      </c>
      <c r="S74" s="62"/>
      <c r="T74" s="143"/>
      <c r="U74" s="13">
        <f t="shared" si="55"/>
        <v>32</v>
      </c>
      <c r="V74" s="62"/>
      <c r="W74" s="143"/>
      <c r="X74" s="13">
        <f t="shared" si="56"/>
        <v>32</v>
      </c>
      <c r="Y74" s="62"/>
      <c r="Z74" s="143"/>
      <c r="AA74" s="13">
        <f t="shared" si="57"/>
        <v>32</v>
      </c>
      <c r="AB74" s="62"/>
      <c r="AC74" s="143"/>
      <c r="AD74" s="13">
        <f t="shared" si="58"/>
        <v>32</v>
      </c>
      <c r="AE74" s="62"/>
      <c r="AF74" s="143"/>
      <c r="AG74" s="13">
        <f t="shared" si="59"/>
        <v>32</v>
      </c>
      <c r="AH74" s="61"/>
      <c r="AI74" s="143"/>
      <c r="AJ74" s="13">
        <f t="shared" si="60"/>
        <v>32</v>
      </c>
      <c r="AK74" s="62">
        <v>4</v>
      </c>
      <c r="AL74" s="143">
        <v>4</v>
      </c>
      <c r="AM74" s="13">
        <f t="shared" si="61"/>
        <v>32</v>
      </c>
      <c r="AN74" s="62"/>
      <c r="AO74" s="143"/>
      <c r="AP74" s="13">
        <f t="shared" si="62"/>
        <v>32</v>
      </c>
      <c r="AQ74" s="62"/>
      <c r="AR74" s="143"/>
      <c r="AS74" s="13">
        <f t="shared" si="63"/>
        <v>32</v>
      </c>
      <c r="AT74" s="62"/>
      <c r="AU74" s="143"/>
      <c r="AV74" s="13">
        <f t="shared" si="64"/>
        <v>32</v>
      </c>
      <c r="AW74" s="62"/>
      <c r="AX74" s="143">
        <v>32</v>
      </c>
      <c r="AY74" s="13">
        <f t="shared" si="65"/>
        <v>0</v>
      </c>
      <c r="AZ74" s="62"/>
      <c r="BA74" s="143"/>
      <c r="BB74" s="13">
        <f t="shared" si="66"/>
        <v>0</v>
      </c>
      <c r="BC74" s="62"/>
      <c r="BD74" s="143"/>
      <c r="BE74" s="13">
        <f t="shared" si="67"/>
        <v>0</v>
      </c>
      <c r="BF74" s="62"/>
      <c r="BG74" s="143"/>
      <c r="BH74" s="13">
        <f t="shared" si="68"/>
        <v>0</v>
      </c>
      <c r="BI74" s="62"/>
      <c r="BJ74" s="143"/>
      <c r="BK74" s="13">
        <f t="shared" si="69"/>
        <v>0</v>
      </c>
      <c r="BL74" s="62"/>
      <c r="BM74" s="143"/>
      <c r="BN74" s="13">
        <f t="shared" si="70"/>
        <v>0</v>
      </c>
      <c r="BO74" s="62"/>
      <c r="BP74" s="143"/>
      <c r="BQ74" s="13">
        <f t="shared" si="71"/>
        <v>0</v>
      </c>
      <c r="BR74" s="62"/>
      <c r="BS74" s="143"/>
      <c r="BT74" s="13">
        <f t="shared" si="37"/>
        <v>0</v>
      </c>
      <c r="BU74" s="62"/>
      <c r="BV74" s="143"/>
      <c r="BW74" s="13">
        <f t="shared" si="72"/>
        <v>0</v>
      </c>
      <c r="BX74" s="175"/>
      <c r="BY74" s="143"/>
      <c r="BZ74" s="13">
        <f t="shared" si="38"/>
        <v>0</v>
      </c>
      <c r="CA74" s="62"/>
      <c r="CB74" s="143"/>
      <c r="CC74" s="13">
        <f t="shared" si="39"/>
        <v>0</v>
      </c>
      <c r="CD74" s="62"/>
      <c r="CE74" s="143"/>
      <c r="CF74" s="13">
        <f t="shared" si="40"/>
        <v>0</v>
      </c>
      <c r="CG74" s="62"/>
      <c r="CH74" s="143"/>
      <c r="CI74" s="13">
        <f t="shared" si="46"/>
        <v>0</v>
      </c>
      <c r="CJ74" s="62"/>
      <c r="CK74" s="143"/>
      <c r="CL74" s="13">
        <f t="shared" si="47"/>
        <v>0</v>
      </c>
      <c r="CM74" s="62"/>
      <c r="CN74" s="143"/>
      <c r="CO74" s="13">
        <f t="shared" si="41"/>
        <v>0</v>
      </c>
      <c r="CP74" s="62"/>
      <c r="CQ74" s="143"/>
      <c r="CR74" s="13">
        <f t="shared" si="48"/>
        <v>0</v>
      </c>
      <c r="CS74" s="62"/>
      <c r="CT74" s="143"/>
      <c r="CU74" s="14">
        <f t="shared" si="42"/>
        <v>0</v>
      </c>
      <c r="CV74" s="5">
        <f t="shared" si="43"/>
        <v>56</v>
      </c>
      <c r="CW74" s="4">
        <f t="shared" si="43"/>
        <v>76</v>
      </c>
      <c r="CX74" s="6">
        <f t="shared" si="44"/>
        <v>0</v>
      </c>
      <c r="CY74" s="162">
        <v>0</v>
      </c>
      <c r="CZ74" s="171">
        <f t="shared" si="45"/>
        <v>0</v>
      </c>
      <c r="DB74" s="2">
        <f t="shared" si="49"/>
        <v>0</v>
      </c>
      <c r="DC74" s="62"/>
      <c r="DD74" s="143"/>
      <c r="DE74" s="149">
        <f t="shared" si="50"/>
        <v>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 t="shared" si="52"/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1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175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0</v>
      </c>
      <c r="CX75" s="6">
        <f t="shared" si="44"/>
        <v>0</v>
      </c>
      <c r="CY75" s="162">
        <v>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10</v>
      </c>
      <c r="G76" s="62">
        <f>-70+100+2+1</f>
        <v>33</v>
      </c>
      <c r="H76" s="143">
        <f>8+2</f>
        <v>10</v>
      </c>
      <c r="I76" s="13">
        <f t="shared" si="51"/>
        <v>33</v>
      </c>
      <c r="J76" s="62"/>
      <c r="K76" s="143"/>
      <c r="L76" s="13">
        <f t="shared" si="52"/>
        <v>33</v>
      </c>
      <c r="M76" s="62">
        <f>-18+60</f>
        <v>42</v>
      </c>
      <c r="N76" s="143">
        <f>8+25</f>
        <v>33</v>
      </c>
      <c r="O76" s="13">
        <f t="shared" si="53"/>
        <v>42</v>
      </c>
      <c r="P76" s="62">
        <v>20</v>
      </c>
      <c r="Q76" s="143">
        <f>5+25</f>
        <v>30</v>
      </c>
      <c r="R76" s="30">
        <f t="shared" si="54"/>
        <v>32</v>
      </c>
      <c r="S76" s="62"/>
      <c r="T76" s="143"/>
      <c r="U76" s="13">
        <f t="shared" si="55"/>
        <v>32</v>
      </c>
      <c r="V76" s="62">
        <v>20</v>
      </c>
      <c r="W76" s="143">
        <f>6+24</f>
        <v>30</v>
      </c>
      <c r="X76" s="13">
        <f t="shared" si="56"/>
        <v>22</v>
      </c>
      <c r="Y76" s="62">
        <f>-4+40</f>
        <v>36</v>
      </c>
      <c r="Z76" s="143">
        <f>2+3+17</f>
        <v>22</v>
      </c>
      <c r="AA76" s="13">
        <f t="shared" si="57"/>
        <v>36</v>
      </c>
      <c r="AB76" s="62">
        <f>-19+48</f>
        <v>29</v>
      </c>
      <c r="AC76" s="143">
        <f>10+26</f>
        <v>36</v>
      </c>
      <c r="AD76" s="13">
        <f t="shared" si="58"/>
        <v>29</v>
      </c>
      <c r="AE76" s="62"/>
      <c r="AF76" s="143"/>
      <c r="AG76" s="13">
        <f t="shared" si="59"/>
        <v>29</v>
      </c>
      <c r="AH76" s="61">
        <f>-14+4+60</f>
        <v>50</v>
      </c>
      <c r="AI76" s="143">
        <f>6+23+4</f>
        <v>33</v>
      </c>
      <c r="AJ76" s="13">
        <f t="shared" si="60"/>
        <v>46</v>
      </c>
      <c r="AK76" s="62">
        <f>-1+28</f>
        <v>27</v>
      </c>
      <c r="AL76" s="143">
        <f>4+42</f>
        <v>46</v>
      </c>
      <c r="AM76" s="13">
        <f t="shared" si="61"/>
        <v>27</v>
      </c>
      <c r="AN76" s="62"/>
      <c r="AO76" s="143"/>
      <c r="AP76" s="13">
        <f t="shared" si="62"/>
        <v>27</v>
      </c>
      <c r="AQ76" s="62">
        <f>-17+40+2</f>
        <v>25</v>
      </c>
      <c r="AR76" s="143">
        <f>4+23</f>
        <v>27</v>
      </c>
      <c r="AS76" s="13">
        <f t="shared" si="63"/>
        <v>25</v>
      </c>
      <c r="AT76" s="62">
        <f>-13+60</f>
        <v>47</v>
      </c>
      <c r="AU76" s="143">
        <f>3+22</f>
        <v>25</v>
      </c>
      <c r="AV76" s="13">
        <f t="shared" si="64"/>
        <v>47</v>
      </c>
      <c r="AW76" s="62">
        <f>-43+68</f>
        <v>25</v>
      </c>
      <c r="AX76" s="143">
        <f>6+41</f>
        <v>47</v>
      </c>
      <c r="AY76" s="13">
        <f t="shared" si="65"/>
        <v>25</v>
      </c>
      <c r="AZ76" s="62"/>
      <c r="BA76" s="143"/>
      <c r="BB76" s="13">
        <f t="shared" si="66"/>
        <v>25</v>
      </c>
      <c r="BC76" s="62">
        <f>-19+64</f>
        <v>45</v>
      </c>
      <c r="BD76" s="143">
        <f>4+21</f>
        <v>25</v>
      </c>
      <c r="BE76" s="13">
        <f t="shared" si="67"/>
        <v>45</v>
      </c>
      <c r="BF76" s="62">
        <f>-21+72</f>
        <v>51</v>
      </c>
      <c r="BG76" s="143">
        <f>12+33</f>
        <v>45</v>
      </c>
      <c r="BH76" s="13">
        <f t="shared" si="68"/>
        <v>51</v>
      </c>
      <c r="BI76" s="62"/>
      <c r="BJ76" s="143"/>
      <c r="BK76" s="13">
        <f t="shared" si="69"/>
        <v>51</v>
      </c>
      <c r="BL76" s="62"/>
      <c r="BM76" s="143">
        <f>16+10</f>
        <v>26</v>
      </c>
      <c r="BN76" s="13">
        <f t="shared" si="70"/>
        <v>25</v>
      </c>
      <c r="BO76" s="62">
        <f>-27+80</f>
        <v>53</v>
      </c>
      <c r="BP76" s="143">
        <f>4+21</f>
        <v>25</v>
      </c>
      <c r="BQ76" s="13">
        <f t="shared" si="71"/>
        <v>53</v>
      </c>
      <c r="BR76" s="62">
        <f>-36+52</f>
        <v>16</v>
      </c>
      <c r="BS76" s="143">
        <f>9+44+5</f>
        <v>58</v>
      </c>
      <c r="BT76" s="13">
        <f t="shared" si="37"/>
        <v>11</v>
      </c>
      <c r="BU76" s="62"/>
      <c r="BV76" s="143"/>
      <c r="BW76" s="13">
        <f t="shared" si="72"/>
        <v>11</v>
      </c>
      <c r="BX76" s="175">
        <f>-45+80</f>
        <v>35</v>
      </c>
      <c r="BY76" s="143">
        <v>11</v>
      </c>
      <c r="BZ76" s="13">
        <f t="shared" si="38"/>
        <v>35</v>
      </c>
      <c r="CA76" s="62">
        <f>-15+40+16</f>
        <v>41</v>
      </c>
      <c r="CB76" s="143">
        <f>8+27+7+4+4</f>
        <v>50</v>
      </c>
      <c r="CC76" s="13">
        <f t="shared" si="39"/>
        <v>26</v>
      </c>
      <c r="CD76" s="62"/>
      <c r="CE76" s="143">
        <f>4</f>
        <v>4</v>
      </c>
      <c r="CF76" s="13">
        <f t="shared" si="40"/>
        <v>22</v>
      </c>
      <c r="CG76" s="62">
        <f>-8-1+36</f>
        <v>27</v>
      </c>
      <c r="CH76" s="143">
        <f>20+2</f>
        <v>22</v>
      </c>
      <c r="CI76" s="13">
        <f t="shared" si="46"/>
        <v>27</v>
      </c>
      <c r="CJ76" s="62">
        <f>-21+40</f>
        <v>19</v>
      </c>
      <c r="CK76" s="143">
        <f>8+19</f>
        <v>27</v>
      </c>
      <c r="CL76" s="13">
        <f t="shared" si="47"/>
        <v>19</v>
      </c>
      <c r="CM76" s="62">
        <f>-74+88</f>
        <v>14</v>
      </c>
      <c r="CN76" s="143">
        <f>9+10</f>
        <v>19</v>
      </c>
      <c r="CO76" s="13">
        <f t="shared" si="41"/>
        <v>14</v>
      </c>
      <c r="CP76" s="62"/>
      <c r="CQ76" s="143"/>
      <c r="CR76" s="13">
        <f t="shared" si="48"/>
        <v>14</v>
      </c>
      <c r="CS76" s="62">
        <f>-15+24</f>
        <v>9</v>
      </c>
      <c r="CT76" s="143">
        <f>5+9</f>
        <v>14</v>
      </c>
      <c r="CU76" s="14">
        <f t="shared" si="42"/>
        <v>9</v>
      </c>
      <c r="CV76" s="5">
        <f t="shared" si="43"/>
        <v>664</v>
      </c>
      <c r="CW76" s="4">
        <f t="shared" si="43"/>
        <v>665</v>
      </c>
      <c r="CX76" s="6">
        <f t="shared" si="44"/>
        <v>9</v>
      </c>
      <c r="CY76" s="162">
        <v>430</v>
      </c>
      <c r="CZ76" s="171">
        <f t="shared" si="45"/>
        <v>3870</v>
      </c>
      <c r="DB76" s="2">
        <f t="shared" si="49"/>
        <v>9</v>
      </c>
      <c r="DC76" s="62"/>
      <c r="DD76" s="143"/>
      <c r="DE76" s="149">
        <f t="shared" si="50"/>
        <v>9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15</v>
      </c>
      <c r="G77" s="62"/>
      <c r="H77" s="143">
        <f>10+7+13</f>
        <v>30</v>
      </c>
      <c r="I77" s="13">
        <f>F77+G77-H77</f>
        <v>-15</v>
      </c>
      <c r="J77" s="62"/>
      <c r="K77" s="143"/>
      <c r="L77" s="13">
        <f t="shared" si="52"/>
        <v>-15</v>
      </c>
      <c r="M77" s="62">
        <v>36</v>
      </c>
      <c r="N77" s="143">
        <f>9+3</f>
        <v>12</v>
      </c>
      <c r="O77" s="13">
        <f t="shared" si="53"/>
        <v>9</v>
      </c>
      <c r="P77" s="62"/>
      <c r="Q77" s="143">
        <f>9+1+18+11+7</f>
        <v>46</v>
      </c>
      <c r="R77" s="30">
        <f t="shared" si="54"/>
        <v>-37</v>
      </c>
      <c r="S77" s="62">
        <v>36</v>
      </c>
      <c r="T77" s="143"/>
      <c r="U77" s="13">
        <f>R77+S77-T77</f>
        <v>-1</v>
      </c>
      <c r="V77" s="62">
        <v>36</v>
      </c>
      <c r="W77" s="143">
        <f>9+1</f>
        <v>10</v>
      </c>
      <c r="X77" s="13">
        <f t="shared" si="56"/>
        <v>25</v>
      </c>
      <c r="Y77" s="62"/>
      <c r="Z77" s="143">
        <f>7</f>
        <v>7</v>
      </c>
      <c r="AA77" s="13">
        <f t="shared" si="57"/>
        <v>18</v>
      </c>
      <c r="AB77" s="62"/>
      <c r="AC77" s="143">
        <f>1+6+5+19</f>
        <v>31</v>
      </c>
      <c r="AD77" s="13">
        <f t="shared" si="58"/>
        <v>-13</v>
      </c>
      <c r="AE77" s="62"/>
      <c r="AF77" s="143"/>
      <c r="AG77" s="13">
        <f t="shared" si="59"/>
        <v>-13</v>
      </c>
      <c r="AH77" s="62">
        <v>36</v>
      </c>
      <c r="AI77" s="143">
        <f>9+7</f>
        <v>16</v>
      </c>
      <c r="AJ77" s="13">
        <f t="shared" si="60"/>
        <v>7</v>
      </c>
      <c r="AK77" s="62"/>
      <c r="AL77" s="143">
        <f>9+14+10+7</f>
        <v>40</v>
      </c>
      <c r="AM77" s="13">
        <f t="shared" si="61"/>
        <v>-33</v>
      </c>
      <c r="AN77" s="62">
        <v>36</v>
      </c>
      <c r="AO77" s="143"/>
      <c r="AP77" s="13">
        <f t="shared" si="62"/>
        <v>3</v>
      </c>
      <c r="AQ77" s="62"/>
      <c r="AR77" s="143">
        <f>9+1</f>
        <v>10</v>
      </c>
      <c r="AS77" s="13">
        <f t="shared" si="63"/>
        <v>-7</v>
      </c>
      <c r="AT77" s="62">
        <v>36</v>
      </c>
      <c r="AU77" s="143">
        <f>7+1</f>
        <v>8</v>
      </c>
      <c r="AV77" s="13">
        <f t="shared" si="64"/>
        <v>21</v>
      </c>
      <c r="AW77" s="62"/>
      <c r="AX77" s="143">
        <f>7+13+6</f>
        <v>26</v>
      </c>
      <c r="AY77" s="13">
        <f t="shared" si="65"/>
        <v>-5</v>
      </c>
      <c r="AZ77" s="62"/>
      <c r="BA77" s="143"/>
      <c r="BB77" s="13">
        <f t="shared" si="66"/>
        <v>-5</v>
      </c>
      <c r="BC77" s="62">
        <v>36</v>
      </c>
      <c r="BD77" s="143">
        <f>9</f>
        <v>9</v>
      </c>
      <c r="BE77" s="13">
        <f t="shared" si="67"/>
        <v>22</v>
      </c>
      <c r="BF77" s="62"/>
      <c r="BG77" s="143">
        <f>9+7+9+2</f>
        <v>27</v>
      </c>
      <c r="BH77" s="13">
        <f t="shared" si="68"/>
        <v>-5</v>
      </c>
      <c r="BI77" s="62"/>
      <c r="BJ77" s="143"/>
      <c r="BK77" s="13">
        <f t="shared" si="69"/>
        <v>-5</v>
      </c>
      <c r="BL77" s="62"/>
      <c r="BM77" s="143"/>
      <c r="BN77" s="13">
        <f t="shared" si="70"/>
        <v>-5</v>
      </c>
      <c r="BO77" s="62">
        <v>36</v>
      </c>
      <c r="BP77" s="143">
        <v>7</v>
      </c>
      <c r="BQ77" s="13">
        <f t="shared" si="71"/>
        <v>24</v>
      </c>
      <c r="BR77" s="62"/>
      <c r="BS77" s="143">
        <f>6+7+19</f>
        <v>32</v>
      </c>
      <c r="BT77" s="13">
        <f t="shared" si="37"/>
        <v>-8</v>
      </c>
      <c r="BU77" s="62"/>
      <c r="BV77" s="143"/>
      <c r="BW77" s="13">
        <f t="shared" si="72"/>
        <v>-8</v>
      </c>
      <c r="BX77" s="62">
        <v>36</v>
      </c>
      <c r="BY77" s="143">
        <f>9+7</f>
        <v>16</v>
      </c>
      <c r="BZ77" s="13">
        <f t="shared" si="38"/>
        <v>12</v>
      </c>
      <c r="CA77" s="175">
        <v>1</v>
      </c>
      <c r="CB77" s="143">
        <f>9+7+9+2+2+14</f>
        <v>43</v>
      </c>
      <c r="CC77" s="13">
        <f t="shared" si="39"/>
        <v>-30</v>
      </c>
      <c r="CD77" s="62">
        <v>36</v>
      </c>
      <c r="CE77" s="143"/>
      <c r="CF77" s="13">
        <f t="shared" si="40"/>
        <v>6</v>
      </c>
      <c r="CG77" s="62"/>
      <c r="CH77" s="143">
        <f>6+1</f>
        <v>7</v>
      </c>
      <c r="CI77" s="13">
        <f t="shared" si="46"/>
        <v>-1</v>
      </c>
      <c r="CJ77" s="62">
        <v>48</v>
      </c>
      <c r="CK77" s="143">
        <f>8</f>
        <v>8</v>
      </c>
      <c r="CL77" s="13">
        <f t="shared" si="47"/>
        <v>39</v>
      </c>
      <c r="CM77" s="62"/>
      <c r="CN77" s="143">
        <f>11+7+2+16</f>
        <v>36</v>
      </c>
      <c r="CO77" s="13">
        <f t="shared" si="41"/>
        <v>3</v>
      </c>
      <c r="CP77" s="62"/>
      <c r="CQ77" s="143"/>
      <c r="CR77" s="13">
        <f t="shared" si="48"/>
        <v>3</v>
      </c>
      <c r="CS77" s="62"/>
      <c r="CT77" s="143"/>
      <c r="CU77" s="14">
        <f t="shared" si="42"/>
        <v>3</v>
      </c>
      <c r="CV77" s="5">
        <f t="shared" si="43"/>
        <v>409</v>
      </c>
      <c r="CW77" s="4">
        <f t="shared" si="43"/>
        <v>421</v>
      </c>
      <c r="CX77" s="6">
        <f t="shared" si="44"/>
        <v>3</v>
      </c>
      <c r="CY77" s="162">
        <v>195</v>
      </c>
      <c r="CZ77" s="171">
        <f t="shared" si="45"/>
        <v>585</v>
      </c>
      <c r="DB77" s="2">
        <f t="shared" si="49"/>
        <v>3</v>
      </c>
      <c r="DC77" s="62"/>
      <c r="DD77" s="143">
        <f>9+6</f>
        <v>15</v>
      </c>
      <c r="DE77" s="149">
        <f t="shared" si="50"/>
        <v>-12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175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175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2850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1</v>
      </c>
      <c r="G80" s="62"/>
      <c r="H80" s="143"/>
      <c r="I80" s="13">
        <f t="shared" si="73"/>
        <v>1</v>
      </c>
      <c r="J80" s="62"/>
      <c r="K80" s="143"/>
      <c r="L80" s="13">
        <f t="shared" si="74"/>
        <v>1</v>
      </c>
      <c r="M80" s="62"/>
      <c r="N80" s="143"/>
      <c r="O80" s="13">
        <f t="shared" si="75"/>
        <v>1</v>
      </c>
      <c r="P80" s="62"/>
      <c r="Q80" s="143"/>
      <c r="R80" s="30">
        <f t="shared" si="76"/>
        <v>1</v>
      </c>
      <c r="S80" s="62">
        <v>12</v>
      </c>
      <c r="T80" s="143"/>
      <c r="U80" s="13">
        <f t="shared" si="77"/>
        <v>13</v>
      </c>
      <c r="V80" s="62"/>
      <c r="W80" s="143">
        <f>4+3+3</f>
        <v>10</v>
      </c>
      <c r="X80" s="30">
        <f t="shared" si="78"/>
        <v>3</v>
      </c>
      <c r="Y80" s="62"/>
      <c r="Z80" s="143"/>
      <c r="AA80" s="13">
        <f t="shared" si="79"/>
        <v>3</v>
      </c>
      <c r="AB80" s="62"/>
      <c r="AC80" s="143"/>
      <c r="AD80" s="13">
        <f t="shared" si="80"/>
        <v>3</v>
      </c>
      <c r="AE80" s="62"/>
      <c r="AF80" s="143"/>
      <c r="AG80" s="13">
        <f t="shared" si="81"/>
        <v>3</v>
      </c>
      <c r="AH80" s="62"/>
      <c r="AI80" s="143"/>
      <c r="AJ80" s="13">
        <f t="shared" si="82"/>
        <v>3</v>
      </c>
      <c r="AK80" s="62">
        <v>12</v>
      </c>
      <c r="AL80" s="143"/>
      <c r="AM80" s="13">
        <f t="shared" si="83"/>
        <v>15</v>
      </c>
      <c r="AN80" s="62"/>
      <c r="AO80" s="143"/>
      <c r="AP80" s="13">
        <f t="shared" si="84"/>
        <v>15</v>
      </c>
      <c r="AQ80" s="62"/>
      <c r="AR80" s="143">
        <f>3+3+3</f>
        <v>9</v>
      </c>
      <c r="AS80" s="13">
        <f t="shared" si="85"/>
        <v>6</v>
      </c>
      <c r="AT80" s="62"/>
      <c r="AU80" s="143"/>
      <c r="AV80" s="13">
        <f t="shared" si="86"/>
        <v>6</v>
      </c>
      <c r="AW80" s="62"/>
      <c r="AX80" s="143"/>
      <c r="AY80" s="13">
        <f t="shared" si="87"/>
        <v>6</v>
      </c>
      <c r="AZ80" s="62"/>
      <c r="BA80" s="143"/>
      <c r="BB80" s="13">
        <f t="shared" si="88"/>
        <v>6</v>
      </c>
      <c r="BC80" s="62">
        <v>12</v>
      </c>
      <c r="BD80" s="143"/>
      <c r="BE80" s="13">
        <f t="shared" si="89"/>
        <v>18</v>
      </c>
      <c r="BF80" s="62"/>
      <c r="BG80" s="143">
        <f>4+3+3</f>
        <v>10</v>
      </c>
      <c r="BH80" s="13">
        <f t="shared" si="90"/>
        <v>8</v>
      </c>
      <c r="BI80" s="62"/>
      <c r="BJ80" s="143"/>
      <c r="BK80" s="13">
        <f t="shared" si="91"/>
        <v>8</v>
      </c>
      <c r="BL80" s="62"/>
      <c r="BM80" s="143"/>
      <c r="BN80" s="13">
        <f t="shared" si="92"/>
        <v>8</v>
      </c>
      <c r="BO80" s="62"/>
      <c r="BP80" s="143"/>
      <c r="BQ80" s="13">
        <f t="shared" si="93"/>
        <v>8</v>
      </c>
      <c r="BR80" s="62"/>
      <c r="BS80" s="143"/>
      <c r="BT80" s="13">
        <f t="shared" si="37"/>
        <v>8</v>
      </c>
      <c r="BU80" s="62"/>
      <c r="BV80" s="143"/>
      <c r="BW80" s="13">
        <f t="shared" si="94"/>
        <v>8</v>
      </c>
      <c r="BX80" s="62"/>
      <c r="BY80" s="143"/>
      <c r="BZ80" s="13">
        <f t="shared" si="38"/>
        <v>8</v>
      </c>
      <c r="CA80" s="175">
        <v>6</v>
      </c>
      <c r="CB80" s="143">
        <f>3+2</f>
        <v>5</v>
      </c>
      <c r="CC80" s="13">
        <f t="shared" si="39"/>
        <v>9</v>
      </c>
      <c r="CD80" s="62"/>
      <c r="CE80" s="143"/>
      <c r="CF80" s="13">
        <f t="shared" si="40"/>
        <v>9</v>
      </c>
      <c r="CG80" s="62"/>
      <c r="CH80" s="143">
        <f>3</f>
        <v>3</v>
      </c>
      <c r="CI80" s="13">
        <f t="shared" si="46"/>
        <v>6</v>
      </c>
      <c r="CJ80" s="62"/>
      <c r="CK80" s="143">
        <f>1</f>
        <v>1</v>
      </c>
      <c r="CL80" s="13">
        <f t="shared" si="47"/>
        <v>5</v>
      </c>
      <c r="CM80" s="62"/>
      <c r="CN80" s="143"/>
      <c r="CO80" s="13">
        <f t="shared" si="41"/>
        <v>5</v>
      </c>
      <c r="CP80" s="62"/>
      <c r="CQ80" s="143"/>
      <c r="CR80" s="13">
        <f t="shared" si="48"/>
        <v>5</v>
      </c>
      <c r="CS80" s="62"/>
      <c r="CT80" s="143"/>
      <c r="CU80" s="14">
        <f t="shared" si="42"/>
        <v>5</v>
      </c>
      <c r="CV80" s="5">
        <f t="shared" si="43"/>
        <v>42</v>
      </c>
      <c r="CW80" s="4">
        <f t="shared" si="43"/>
        <v>38</v>
      </c>
      <c r="CX80" s="6">
        <f t="shared" si="95"/>
        <v>5</v>
      </c>
      <c r="CY80" s="162">
        <v>2850</v>
      </c>
      <c r="CZ80" s="171">
        <f t="shared" si="45"/>
        <v>14250</v>
      </c>
      <c r="DB80" s="2">
        <f t="shared" si="49"/>
        <v>5</v>
      </c>
      <c r="DC80" s="62"/>
      <c r="DD80" s="143"/>
      <c r="DE80" s="149">
        <f t="shared" si="50"/>
        <v>5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37</v>
      </c>
      <c r="G81" s="62"/>
      <c r="H81" s="143">
        <v>8</v>
      </c>
      <c r="I81" s="13">
        <f t="shared" si="73"/>
        <v>29</v>
      </c>
      <c r="J81" s="62"/>
      <c r="K81" s="143"/>
      <c r="L81" s="13">
        <f t="shared" si="74"/>
        <v>29</v>
      </c>
      <c r="M81" s="62"/>
      <c r="N81" s="143">
        <v>6</v>
      </c>
      <c r="O81" s="13">
        <f t="shared" si="75"/>
        <v>23</v>
      </c>
      <c r="P81" s="62"/>
      <c r="Q81" s="143">
        <v>3</v>
      </c>
      <c r="R81" s="13">
        <f t="shared" si="76"/>
        <v>20</v>
      </c>
      <c r="S81" s="62"/>
      <c r="T81" s="143"/>
      <c r="U81" s="13">
        <f t="shared" si="77"/>
        <v>20</v>
      </c>
      <c r="V81" s="62">
        <v>29</v>
      </c>
      <c r="W81" s="143">
        <v>3</v>
      </c>
      <c r="X81" s="13">
        <f t="shared" si="78"/>
        <v>46</v>
      </c>
      <c r="Y81" s="62"/>
      <c r="Z81" s="143">
        <v>2</v>
      </c>
      <c r="AA81" s="13">
        <f t="shared" si="79"/>
        <v>44</v>
      </c>
      <c r="AB81" s="62"/>
      <c r="AC81" s="143">
        <v>8</v>
      </c>
      <c r="AD81" s="13">
        <f t="shared" si="80"/>
        <v>36</v>
      </c>
      <c r="AE81" s="62"/>
      <c r="AF81" s="143"/>
      <c r="AG81" s="13">
        <f t="shared" si="81"/>
        <v>36</v>
      </c>
      <c r="AH81" s="62"/>
      <c r="AI81" s="143">
        <v>4</v>
      </c>
      <c r="AJ81" s="13">
        <f t="shared" si="82"/>
        <v>32</v>
      </c>
      <c r="AK81" s="62"/>
      <c r="AL81" s="143">
        <v>5</v>
      </c>
      <c r="AM81" s="13">
        <f t="shared" si="83"/>
        <v>27</v>
      </c>
      <c r="AN81" s="62"/>
      <c r="AO81" s="143"/>
      <c r="AP81" s="13">
        <f t="shared" si="84"/>
        <v>27</v>
      </c>
      <c r="AQ81" s="62">
        <v>28</v>
      </c>
      <c r="AR81" s="143">
        <v>4</v>
      </c>
      <c r="AS81" s="13">
        <f t="shared" si="85"/>
        <v>51</v>
      </c>
      <c r="AT81" s="62"/>
      <c r="AU81" s="143">
        <v>4</v>
      </c>
      <c r="AV81" s="13">
        <f t="shared" si="86"/>
        <v>47</v>
      </c>
      <c r="AW81" s="62"/>
      <c r="AX81" s="143">
        <v>4</v>
      </c>
      <c r="AY81" s="13">
        <f t="shared" si="87"/>
        <v>43</v>
      </c>
      <c r="AZ81" s="62"/>
      <c r="BA81" s="143"/>
      <c r="BB81" s="13">
        <f t="shared" si="88"/>
        <v>43</v>
      </c>
      <c r="BC81" s="62"/>
      <c r="BD81" s="143">
        <v>4</v>
      </c>
      <c r="BE81" s="13">
        <f t="shared" si="89"/>
        <v>39</v>
      </c>
      <c r="BF81" s="62"/>
      <c r="BG81" s="143">
        <v>6</v>
      </c>
      <c r="BH81" s="13">
        <f t="shared" si="90"/>
        <v>33</v>
      </c>
      <c r="BI81" s="62"/>
      <c r="BJ81" s="143"/>
      <c r="BK81" s="13">
        <f t="shared" si="91"/>
        <v>33</v>
      </c>
      <c r="BL81" s="62">
        <v>27</v>
      </c>
      <c r="BM81" s="143">
        <v>6</v>
      </c>
      <c r="BN81" s="13">
        <f t="shared" si="92"/>
        <v>54</v>
      </c>
      <c r="BO81" s="62"/>
      <c r="BP81" s="143">
        <v>5</v>
      </c>
      <c r="BQ81" s="13">
        <f t="shared" si="93"/>
        <v>49</v>
      </c>
      <c r="BR81" s="62"/>
      <c r="BS81" s="143">
        <v>5</v>
      </c>
      <c r="BT81" s="13">
        <f t="shared" si="37"/>
        <v>44</v>
      </c>
      <c r="BU81" s="62"/>
      <c r="BV81" s="143"/>
      <c r="BW81" s="13">
        <f t="shared" si="94"/>
        <v>44</v>
      </c>
      <c r="BX81" s="62"/>
      <c r="BY81" s="143">
        <v>5</v>
      </c>
      <c r="BZ81" s="13">
        <f t="shared" si="38"/>
        <v>39</v>
      </c>
      <c r="CA81" s="175"/>
      <c r="CB81" s="143">
        <v>6</v>
      </c>
      <c r="CC81" s="13">
        <f t="shared" si="39"/>
        <v>33</v>
      </c>
      <c r="CD81" s="62"/>
      <c r="CE81" s="143"/>
      <c r="CF81" s="13">
        <f t="shared" si="40"/>
        <v>33</v>
      </c>
      <c r="CG81" s="62">
        <v>27</v>
      </c>
      <c r="CH81" s="143">
        <v>4</v>
      </c>
      <c r="CI81" s="13">
        <f t="shared" si="46"/>
        <v>56</v>
      </c>
      <c r="CJ81" s="62"/>
      <c r="CK81" s="143">
        <v>4</v>
      </c>
      <c r="CL81" s="13">
        <f t="shared" si="47"/>
        <v>52</v>
      </c>
      <c r="CM81" s="62"/>
      <c r="CN81" s="143">
        <v>5</v>
      </c>
      <c r="CO81" s="13">
        <f t="shared" si="41"/>
        <v>47</v>
      </c>
      <c r="CP81" s="62"/>
      <c r="CQ81" s="143"/>
      <c r="CR81" s="13">
        <f t="shared" si="48"/>
        <v>47</v>
      </c>
      <c r="CS81" s="62"/>
      <c r="CT81" s="143">
        <v>4</v>
      </c>
      <c r="CU81" s="14">
        <f t="shared" si="42"/>
        <v>43</v>
      </c>
      <c r="CV81" s="5">
        <f t="shared" si="43"/>
        <v>111</v>
      </c>
      <c r="CW81" s="4">
        <f t="shared" si="43"/>
        <v>105</v>
      </c>
      <c r="CX81" s="6">
        <f t="shared" si="95"/>
        <v>43</v>
      </c>
      <c r="CY81" s="162"/>
      <c r="CZ81" s="171">
        <f t="shared" si="45"/>
        <v>0</v>
      </c>
      <c r="DB81" s="2">
        <f t="shared" si="49"/>
        <v>43</v>
      </c>
      <c r="DC81" s="62"/>
      <c r="DD81" s="143"/>
      <c r="DE81" s="149">
        <f t="shared" si="50"/>
        <v>43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9</v>
      </c>
      <c r="G82" s="62"/>
      <c r="H82" s="143">
        <v>2</v>
      </c>
      <c r="I82" s="13">
        <f t="shared" si="73"/>
        <v>7</v>
      </c>
      <c r="J82" s="62"/>
      <c r="K82" s="143"/>
      <c r="L82" s="13">
        <f t="shared" si="74"/>
        <v>7</v>
      </c>
      <c r="M82" s="62">
        <v>6</v>
      </c>
      <c r="N82" s="143">
        <v>3</v>
      </c>
      <c r="O82" s="13">
        <f t="shared" si="75"/>
        <v>10</v>
      </c>
      <c r="P82" s="62"/>
      <c r="Q82" s="143">
        <v>2</v>
      </c>
      <c r="R82" s="30">
        <f t="shared" si="76"/>
        <v>8</v>
      </c>
      <c r="S82" s="62"/>
      <c r="T82" s="143"/>
      <c r="U82" s="13">
        <f t="shared" si="77"/>
        <v>8</v>
      </c>
      <c r="V82" s="62"/>
      <c r="W82" s="143"/>
      <c r="X82" s="13">
        <f t="shared" si="78"/>
        <v>8</v>
      </c>
      <c r="Y82" s="62"/>
      <c r="Z82" s="143">
        <v>1</v>
      </c>
      <c r="AA82" s="13">
        <f t="shared" si="79"/>
        <v>7</v>
      </c>
      <c r="AB82" s="62">
        <v>6</v>
      </c>
      <c r="AC82" s="143">
        <f>1</f>
        <v>1</v>
      </c>
      <c r="AD82" s="13">
        <f t="shared" si="80"/>
        <v>12</v>
      </c>
      <c r="AE82" s="62"/>
      <c r="AF82" s="143"/>
      <c r="AG82" s="13">
        <f t="shared" si="81"/>
        <v>12</v>
      </c>
      <c r="AH82" s="62"/>
      <c r="AI82" s="143">
        <v>2</v>
      </c>
      <c r="AJ82" s="13">
        <f t="shared" si="82"/>
        <v>10</v>
      </c>
      <c r="AK82" s="62">
        <v>6</v>
      </c>
      <c r="AL82" s="143">
        <f>1+4</f>
        <v>5</v>
      </c>
      <c r="AM82" s="13">
        <f t="shared" si="83"/>
        <v>11</v>
      </c>
      <c r="AN82" s="62"/>
      <c r="AO82" s="143"/>
      <c r="AP82" s="13">
        <f t="shared" si="84"/>
        <v>11</v>
      </c>
      <c r="AQ82" s="62"/>
      <c r="AR82" s="143">
        <f>2</f>
        <v>2</v>
      </c>
      <c r="AS82" s="13">
        <f t="shared" si="85"/>
        <v>9</v>
      </c>
      <c r="AT82" s="62"/>
      <c r="AU82" s="143"/>
      <c r="AV82" s="13">
        <f t="shared" si="86"/>
        <v>9</v>
      </c>
      <c r="AW82" s="62">
        <v>6</v>
      </c>
      <c r="AX82" s="143">
        <v>3</v>
      </c>
      <c r="AY82" s="13">
        <f t="shared" si="87"/>
        <v>12</v>
      </c>
      <c r="AZ82" s="62"/>
      <c r="BA82" s="143"/>
      <c r="BB82" s="13">
        <f t="shared" si="88"/>
        <v>12</v>
      </c>
      <c r="BC82" s="62"/>
      <c r="BD82" s="143">
        <v>1</v>
      </c>
      <c r="BE82" s="13">
        <f t="shared" si="89"/>
        <v>11</v>
      </c>
      <c r="BF82" s="62"/>
      <c r="BG82" s="143">
        <f>3</f>
        <v>3</v>
      </c>
      <c r="BH82" s="13">
        <f t="shared" si="90"/>
        <v>8</v>
      </c>
      <c r="BI82" s="62"/>
      <c r="BJ82" s="143"/>
      <c r="BK82" s="13">
        <f t="shared" si="91"/>
        <v>8</v>
      </c>
      <c r="BL82" s="62"/>
      <c r="BM82" s="143"/>
      <c r="BN82" s="13">
        <f t="shared" si="92"/>
        <v>8</v>
      </c>
      <c r="BO82" s="62"/>
      <c r="BP82" s="143">
        <v>2</v>
      </c>
      <c r="BQ82" s="13">
        <f t="shared" si="93"/>
        <v>6</v>
      </c>
      <c r="BR82" s="62">
        <v>6</v>
      </c>
      <c r="BS82" s="143">
        <v>2</v>
      </c>
      <c r="BT82" s="13">
        <f t="shared" si="37"/>
        <v>10</v>
      </c>
      <c r="BU82" s="62"/>
      <c r="BV82" s="143"/>
      <c r="BW82" s="13">
        <f t="shared" si="94"/>
        <v>10</v>
      </c>
      <c r="BX82" s="62"/>
      <c r="BY82" s="143">
        <v>5</v>
      </c>
      <c r="BZ82" s="13">
        <f t="shared" si="38"/>
        <v>5</v>
      </c>
      <c r="CA82" s="175">
        <v>6</v>
      </c>
      <c r="CB82" s="143">
        <f>1+3</f>
        <v>4</v>
      </c>
      <c r="CC82" s="13">
        <f t="shared" si="39"/>
        <v>7</v>
      </c>
      <c r="CD82" s="62"/>
      <c r="CE82" s="143"/>
      <c r="CF82" s="13">
        <f t="shared" si="40"/>
        <v>7</v>
      </c>
      <c r="CG82" s="62"/>
      <c r="CH82" s="143">
        <v>1</v>
      </c>
      <c r="CI82" s="13">
        <f t="shared" si="46"/>
        <v>6</v>
      </c>
      <c r="CJ82" s="62"/>
      <c r="CK82" s="143">
        <v>1</v>
      </c>
      <c r="CL82" s="13">
        <f t="shared" si="47"/>
        <v>5</v>
      </c>
      <c r="CM82" s="62"/>
      <c r="CN82" s="143">
        <v>1</v>
      </c>
      <c r="CO82" s="13">
        <f t="shared" si="41"/>
        <v>4</v>
      </c>
      <c r="CP82" s="62"/>
      <c r="CQ82" s="143"/>
      <c r="CR82" s="13">
        <f t="shared" si="48"/>
        <v>4</v>
      </c>
      <c r="CS82" s="62"/>
      <c r="CT82" s="143"/>
      <c r="CU82" s="14">
        <f t="shared" si="42"/>
        <v>4</v>
      </c>
      <c r="CV82" s="129">
        <f t="shared" si="43"/>
        <v>36</v>
      </c>
      <c r="CW82" s="130">
        <f t="shared" si="43"/>
        <v>41</v>
      </c>
      <c r="CX82" s="131">
        <f t="shared" si="95"/>
        <v>4</v>
      </c>
      <c r="CY82" s="163">
        <v>0</v>
      </c>
      <c r="CZ82" s="172">
        <f t="shared" si="45"/>
        <v>0</v>
      </c>
      <c r="DB82" s="2">
        <f t="shared" si="49"/>
        <v>4</v>
      </c>
      <c r="DC82" s="62"/>
      <c r="DD82" s="143"/>
      <c r="DE82" s="149">
        <f t="shared" si="50"/>
        <v>4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55</v>
      </c>
      <c r="G83" s="62">
        <v>12</v>
      </c>
      <c r="H83" s="143">
        <f>2+32</f>
        <v>34</v>
      </c>
      <c r="I83" s="13">
        <f t="shared" si="73"/>
        <v>33</v>
      </c>
      <c r="J83" s="62"/>
      <c r="K83" s="143"/>
      <c r="L83" s="13">
        <f t="shared" si="74"/>
        <v>33</v>
      </c>
      <c r="M83" s="62"/>
      <c r="N83" s="143">
        <f>2+4</f>
        <v>6</v>
      </c>
      <c r="O83" s="13">
        <f t="shared" si="75"/>
        <v>27</v>
      </c>
      <c r="P83" s="62">
        <v>72</v>
      </c>
      <c r="Q83" s="143">
        <f>4+13</f>
        <v>17</v>
      </c>
      <c r="R83" s="30">
        <f t="shared" si="76"/>
        <v>82</v>
      </c>
      <c r="S83" s="62"/>
      <c r="T83" s="143"/>
      <c r="U83" s="13">
        <f t="shared" si="77"/>
        <v>82</v>
      </c>
      <c r="V83" s="62"/>
      <c r="W83" s="143">
        <f>4+8</f>
        <v>12</v>
      </c>
      <c r="X83" s="13">
        <f t="shared" si="78"/>
        <v>70</v>
      </c>
      <c r="Y83" s="62">
        <v>24</v>
      </c>
      <c r="Z83" s="143">
        <f>3+14</f>
        <v>17</v>
      </c>
      <c r="AA83" s="13">
        <f t="shared" si="79"/>
        <v>77</v>
      </c>
      <c r="AB83" s="62">
        <v>24</v>
      </c>
      <c r="AC83" s="143">
        <f>4+17</f>
        <v>21</v>
      </c>
      <c r="AD83" s="13">
        <f t="shared" si="80"/>
        <v>80</v>
      </c>
      <c r="AE83" s="62"/>
      <c r="AF83" s="143"/>
      <c r="AG83" s="13">
        <f t="shared" si="81"/>
        <v>80</v>
      </c>
      <c r="AH83" s="62"/>
      <c r="AI83" s="143">
        <f>4+28</f>
        <v>32</v>
      </c>
      <c r="AJ83" s="13">
        <f t="shared" si="82"/>
        <v>48</v>
      </c>
      <c r="AK83" s="62">
        <v>72</v>
      </c>
      <c r="AL83" s="143">
        <v>24</v>
      </c>
      <c r="AM83" s="13">
        <f t="shared" si="83"/>
        <v>96</v>
      </c>
      <c r="AN83" s="62"/>
      <c r="AO83" s="143"/>
      <c r="AP83" s="13">
        <f t="shared" si="84"/>
        <v>96</v>
      </c>
      <c r="AQ83" s="62"/>
      <c r="AR83" s="143">
        <f>17</f>
        <v>17</v>
      </c>
      <c r="AS83" s="13">
        <f t="shared" si="85"/>
        <v>79</v>
      </c>
      <c r="AT83" s="62"/>
      <c r="AU83" s="143">
        <v>27</v>
      </c>
      <c r="AV83" s="13">
        <f t="shared" si="86"/>
        <v>52</v>
      </c>
      <c r="AW83" s="62">
        <v>36</v>
      </c>
      <c r="AX83" s="143">
        <f>3+28</f>
        <v>31</v>
      </c>
      <c r="AY83" s="13">
        <f t="shared" si="87"/>
        <v>57</v>
      </c>
      <c r="AZ83" s="62"/>
      <c r="BA83" s="143"/>
      <c r="BB83" s="13">
        <f t="shared" si="88"/>
        <v>57</v>
      </c>
      <c r="BC83" s="62"/>
      <c r="BD83" s="143">
        <f>2+10</f>
        <v>12</v>
      </c>
      <c r="BE83" s="13">
        <f t="shared" si="89"/>
        <v>45</v>
      </c>
      <c r="BF83" s="62"/>
      <c r="BG83" s="143">
        <f>6+14</f>
        <v>20</v>
      </c>
      <c r="BH83" s="13">
        <f t="shared" si="90"/>
        <v>25</v>
      </c>
      <c r="BI83" s="62"/>
      <c r="BJ83" s="143"/>
      <c r="BK83" s="13">
        <f t="shared" si="91"/>
        <v>25</v>
      </c>
      <c r="BL83" s="62">
        <v>84</v>
      </c>
      <c r="BM83" s="143">
        <f>9</f>
        <v>9</v>
      </c>
      <c r="BN83" s="13">
        <f t="shared" si="92"/>
        <v>100</v>
      </c>
      <c r="BO83" s="62"/>
      <c r="BP83" s="143">
        <f>3+24</f>
        <v>27</v>
      </c>
      <c r="BQ83" s="13">
        <f t="shared" si="93"/>
        <v>73</v>
      </c>
      <c r="BR83" s="62">
        <v>36</v>
      </c>
      <c r="BS83" s="143">
        <f>4+27</f>
        <v>31</v>
      </c>
      <c r="BT83" s="13">
        <f t="shared" si="37"/>
        <v>78</v>
      </c>
      <c r="BU83" s="62"/>
      <c r="BV83" s="143"/>
      <c r="BW83" s="13">
        <f t="shared" si="94"/>
        <v>78</v>
      </c>
      <c r="BX83" s="62"/>
      <c r="BY83" s="143">
        <v>30</v>
      </c>
      <c r="BZ83" s="13">
        <f t="shared" si="38"/>
        <v>48</v>
      </c>
      <c r="CA83" s="175">
        <v>24</v>
      </c>
      <c r="CB83" s="143">
        <f>4+18</f>
        <v>22</v>
      </c>
      <c r="CC83" s="13">
        <f t="shared" si="39"/>
        <v>50</v>
      </c>
      <c r="CD83" s="62"/>
      <c r="CE83" s="143"/>
      <c r="CF83" s="13">
        <f t="shared" si="40"/>
        <v>50</v>
      </c>
      <c r="CG83" s="62">
        <v>72</v>
      </c>
      <c r="CH83" s="143">
        <f>2+19</f>
        <v>21</v>
      </c>
      <c r="CI83" s="13">
        <f t="shared" si="46"/>
        <v>101</v>
      </c>
      <c r="CJ83" s="62"/>
      <c r="CK83" s="143">
        <f>4+12</f>
        <v>16</v>
      </c>
      <c r="CL83" s="13">
        <f t="shared" si="47"/>
        <v>85</v>
      </c>
      <c r="CM83" s="62"/>
      <c r="CN83" s="143">
        <v>24</v>
      </c>
      <c r="CO83" s="13">
        <f t="shared" si="41"/>
        <v>61</v>
      </c>
      <c r="CP83" s="62"/>
      <c r="CQ83" s="143"/>
      <c r="CR83" s="13">
        <f t="shared" si="48"/>
        <v>61</v>
      </c>
      <c r="CS83" s="62"/>
      <c r="CT83" s="143">
        <f>2+10</f>
        <v>12</v>
      </c>
      <c r="CU83" s="14">
        <f t="shared" si="42"/>
        <v>49</v>
      </c>
      <c r="CV83" s="5">
        <f t="shared" si="43"/>
        <v>456</v>
      </c>
      <c r="CW83" s="4">
        <f t="shared" si="43"/>
        <v>462</v>
      </c>
      <c r="CX83" s="6">
        <f t="shared" si="95"/>
        <v>49</v>
      </c>
      <c r="CY83" s="164">
        <v>0</v>
      </c>
      <c r="CZ83" s="171">
        <f t="shared" si="45"/>
        <v>0</v>
      </c>
      <c r="DB83" s="2">
        <f t="shared" si="49"/>
        <v>49</v>
      </c>
      <c r="DC83" s="62"/>
      <c r="DD83" s="143"/>
      <c r="DE83" s="149">
        <f t="shared" si="50"/>
        <v>49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174410.25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188363.07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</mergeCells>
  <phoneticPr fontId="1"/>
  <pageMargins left="0.7" right="0.7" top="0.75" bottom="0.75" header="0.3" footer="0.3"/>
  <pageSetup paperSize="9" scale="97" fitToHeight="2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1820D-2AB5-4C1E-9F73-6F6473D690F7}">
  <sheetPr codeName="Sheet37">
    <tabColor rgb="FF00B0F0"/>
    <pageSetUpPr fitToPage="1"/>
  </sheetPr>
  <dimension ref="A1:DE133"/>
  <sheetViews>
    <sheetView zoomScale="164" zoomScaleNormal="164" workbookViewId="0">
      <pane xSplit="5" ySplit="4" topLeftCell="CL59" activePane="bottomRight" state="frozen"/>
      <selection pane="topRight" activeCell="F1" sqref="F1"/>
      <selection pane="bottomLeft" activeCell="A5" sqref="A5"/>
      <selection pane="bottomRight" activeCell="DD60" sqref="DD60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hidden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9" width="5" style="10" customWidth="1"/>
    <col min="100" max="101" width="5.33203125" style="1" customWidth="1"/>
    <col min="102" max="102" width="5.88671875" style="1" customWidth="1"/>
    <col min="103" max="103" width="5.109375" style="1" customWidth="1"/>
    <col min="104" max="104" width="6.33203125" style="1" customWidth="1"/>
    <col min="105" max="105" width="1.44140625" style="1" customWidth="1"/>
    <col min="106" max="106" width="4.8867187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2</v>
      </c>
      <c r="E1" s="1" t="s">
        <v>1</v>
      </c>
      <c r="F1" s="31" t="s">
        <v>2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10</v>
      </c>
      <c r="G5" s="62"/>
      <c r="H5" s="143"/>
      <c r="I5" s="13">
        <f t="shared" ref="I5:I67" si="0">F5+G5-H5</f>
        <v>10</v>
      </c>
      <c r="J5" s="62"/>
      <c r="K5" s="143"/>
      <c r="L5" s="13">
        <f t="shared" ref="L5:L67" si="1">I5+J5-K5</f>
        <v>10</v>
      </c>
      <c r="M5" s="62"/>
      <c r="N5" s="143"/>
      <c r="O5" s="13">
        <f t="shared" ref="O5:O67" si="2">L5+M5-N5</f>
        <v>10</v>
      </c>
      <c r="P5" s="62"/>
      <c r="Q5" s="143"/>
      <c r="R5" s="13">
        <f t="shared" ref="R5:R67" si="3">O5+P5-Q5</f>
        <v>10</v>
      </c>
      <c r="S5" s="62"/>
      <c r="T5" s="143"/>
      <c r="U5" s="13">
        <f t="shared" ref="U5:U68" si="4">R5+S5-T5</f>
        <v>10</v>
      </c>
      <c r="V5" s="62"/>
      <c r="W5" s="143"/>
      <c r="X5" s="13">
        <f t="shared" ref="X5:X68" si="5">U5+V5-W5</f>
        <v>10</v>
      </c>
      <c r="Y5" s="62"/>
      <c r="Z5" s="143"/>
      <c r="AA5" s="13">
        <f>X5+Y5-Z5</f>
        <v>10</v>
      </c>
      <c r="AB5" s="62"/>
      <c r="AC5" s="143"/>
      <c r="AD5" s="13">
        <f>AA5+AB5-AC5</f>
        <v>10</v>
      </c>
      <c r="AE5" s="62"/>
      <c r="AF5" s="143"/>
      <c r="AG5" s="13">
        <f>AD5+AE5-AF5</f>
        <v>10</v>
      </c>
      <c r="AH5" s="62"/>
      <c r="AI5" s="143"/>
      <c r="AJ5" s="13">
        <f>AG5+AH5-AI5</f>
        <v>10</v>
      </c>
      <c r="AK5" s="61"/>
      <c r="AL5" s="143"/>
      <c r="AM5" s="13">
        <f t="shared" ref="AM5:AM68" si="6">AJ5+AK5-AL5</f>
        <v>10</v>
      </c>
      <c r="AN5" s="62"/>
      <c r="AO5" s="143"/>
      <c r="AP5" s="13">
        <f t="shared" ref="AP5:AP68" si="7">AM5+AN5-AO5</f>
        <v>10</v>
      </c>
      <c r="AQ5" s="62"/>
      <c r="AR5" s="143"/>
      <c r="AS5" s="13">
        <f t="shared" ref="AS5:AS68" si="8">AP5+AQ5-AR5</f>
        <v>10</v>
      </c>
      <c r="AT5" s="62"/>
      <c r="AU5" s="143"/>
      <c r="AV5" s="13">
        <f t="shared" ref="AV5:AV68" si="9">AS5+AT5-AU5</f>
        <v>10</v>
      </c>
      <c r="AW5" s="62"/>
      <c r="AX5" s="143"/>
      <c r="AY5" s="13">
        <f t="shared" ref="AY5:AY68" si="10">AV5+AW5-AX5</f>
        <v>10</v>
      </c>
      <c r="AZ5" s="62"/>
      <c r="BA5" s="143"/>
      <c r="BB5" s="13">
        <f t="shared" ref="BB5:BB68" si="11">AY5+AZ5-BA5</f>
        <v>10</v>
      </c>
      <c r="BC5" s="62"/>
      <c r="BD5" s="143"/>
      <c r="BE5" s="13">
        <f t="shared" ref="BE5:BE68" si="12">BB5+BC5-BD5</f>
        <v>10</v>
      </c>
      <c r="BF5" s="62"/>
      <c r="BG5" s="143"/>
      <c r="BH5" s="13">
        <f t="shared" ref="BH5:BH68" si="13">BE5+BF5-BG5</f>
        <v>10</v>
      </c>
      <c r="BI5" s="62"/>
      <c r="BJ5" s="143"/>
      <c r="BK5" s="13">
        <f t="shared" ref="BK5:BK68" si="14">BH5+BI5-BJ5</f>
        <v>10</v>
      </c>
      <c r="BL5" s="62"/>
      <c r="BM5" s="143"/>
      <c r="BN5" s="13">
        <f t="shared" ref="BN5:BN68" si="15">BK5+BL5-BM5</f>
        <v>10</v>
      </c>
      <c r="BO5" s="62"/>
      <c r="BP5" s="143"/>
      <c r="BQ5" s="13">
        <f t="shared" ref="BQ5:BQ68" si="16">BN5+BO5-BP5</f>
        <v>10</v>
      </c>
      <c r="BR5" s="62"/>
      <c r="BS5" s="143"/>
      <c r="BT5" s="13">
        <f t="shared" ref="BT5:BT68" si="17">BQ5+BR5-BS5</f>
        <v>10</v>
      </c>
      <c r="BU5" s="62"/>
      <c r="BV5" s="143"/>
      <c r="BW5" s="13">
        <f t="shared" ref="BW5:BW68" si="18">BT5+BU5-BV5</f>
        <v>10</v>
      </c>
      <c r="BX5" s="62"/>
      <c r="BY5" s="143"/>
      <c r="BZ5" s="13">
        <f t="shared" ref="BZ5:BZ68" si="19">BW5+BX5-BY5</f>
        <v>10</v>
      </c>
      <c r="CA5" s="62"/>
      <c r="CB5" s="143"/>
      <c r="CC5" s="13">
        <f t="shared" ref="CC5:CC68" si="20">BZ5+CA5-CB5</f>
        <v>10</v>
      </c>
      <c r="CD5" s="62"/>
      <c r="CE5" s="143"/>
      <c r="CF5" s="13">
        <f t="shared" ref="CF5:CF68" si="21">CC5+CD5-CE5</f>
        <v>10</v>
      </c>
      <c r="CG5" s="62"/>
      <c r="CH5" s="143"/>
      <c r="CI5" s="13">
        <f>CF5+CG5-CH5</f>
        <v>10</v>
      </c>
      <c r="CJ5" s="62"/>
      <c r="CK5" s="143"/>
      <c r="CL5" s="13">
        <f>CI5+CJ5-CK5</f>
        <v>10</v>
      </c>
      <c r="CM5" s="62"/>
      <c r="CN5" s="143"/>
      <c r="CO5" s="181">
        <f t="shared" ref="CO5:CO68" si="22">CL5+CM5-CN5</f>
        <v>10</v>
      </c>
      <c r="CP5" s="62"/>
      <c r="CQ5" s="143"/>
      <c r="CR5" s="181">
        <f>CO5+CP5-CQ5</f>
        <v>10</v>
      </c>
      <c r="CS5" s="62"/>
      <c r="CT5" s="143"/>
      <c r="CU5" s="14">
        <f t="shared" ref="CU5:CU68" si="23">CR5+CS5-CT5</f>
        <v>10</v>
      </c>
      <c r="CV5" s="5">
        <f t="shared" ref="CV5:CW36" si="24">G5+J5+M5+P5+S5+V5+Y5+AB5+AE5+AH5+AK5+AN5+AQ5+AT5+AW5+AZ5+BC5+BF5+BI5+BL5+BO5+BR5+BU5+BX5+CA5+CD5+CG5+CJ5+CM5+CP5+CS5</f>
        <v>0</v>
      </c>
      <c r="CW5" s="4">
        <f t="shared" si="24"/>
        <v>0</v>
      </c>
      <c r="CX5" s="6">
        <f t="shared" ref="CX5:CX68" si="25">CU5</f>
        <v>10</v>
      </c>
      <c r="CY5" s="162">
        <v>125</v>
      </c>
      <c r="CZ5" s="171">
        <f t="shared" ref="CZ5:CZ68" si="26">CX5*CY5</f>
        <v>1250</v>
      </c>
      <c r="DB5" s="2">
        <f>CU5</f>
        <v>10</v>
      </c>
      <c r="DC5" s="61"/>
      <c r="DD5" s="143"/>
      <c r="DE5" s="149">
        <f>DC5+DB5-DD5</f>
        <v>10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4</v>
      </c>
      <c r="G6" s="62">
        <v>20</v>
      </c>
      <c r="H6" s="143">
        <f>2+3+2+2+2+2</f>
        <v>13</v>
      </c>
      <c r="I6" s="13">
        <f t="shared" si="0"/>
        <v>11</v>
      </c>
      <c r="J6" s="62"/>
      <c r="K6" s="143"/>
      <c r="L6" s="13">
        <f t="shared" si="1"/>
        <v>11</v>
      </c>
      <c r="M6" s="62">
        <v>10</v>
      </c>
      <c r="N6" s="143">
        <f>3+4+2</f>
        <v>9</v>
      </c>
      <c r="O6" s="13">
        <f t="shared" si="2"/>
        <v>12</v>
      </c>
      <c r="P6" s="62"/>
      <c r="Q6" s="143">
        <f>3-2+2+2+2+2</f>
        <v>9</v>
      </c>
      <c r="R6" s="13">
        <f t="shared" si="3"/>
        <v>3</v>
      </c>
      <c r="S6" s="62"/>
      <c r="T6" s="143"/>
      <c r="U6" s="13">
        <f t="shared" si="4"/>
        <v>3</v>
      </c>
      <c r="V6" s="62">
        <v>10</v>
      </c>
      <c r="W6" s="143"/>
      <c r="X6" s="13">
        <f t="shared" si="5"/>
        <v>13</v>
      </c>
      <c r="Y6" s="62"/>
      <c r="Z6" s="143">
        <f>8</f>
        <v>8</v>
      </c>
      <c r="AA6" s="13">
        <f t="shared" ref="AA6:AA68" si="27">X6+Y6-Z6</f>
        <v>5</v>
      </c>
      <c r="AB6" s="62">
        <v>10</v>
      </c>
      <c r="AC6" s="143">
        <f>3+2+3</f>
        <v>8</v>
      </c>
      <c r="AD6" s="13">
        <f t="shared" ref="AD6:AD68" si="28">AA6+AB6-AC6</f>
        <v>7</v>
      </c>
      <c r="AE6" s="62"/>
      <c r="AF6" s="143"/>
      <c r="AG6" s="13">
        <f t="shared" ref="AG6:AG68" si="29">AD6+AE6-AF6</f>
        <v>7</v>
      </c>
      <c r="AH6" s="62">
        <v>10</v>
      </c>
      <c r="AI6" s="143">
        <f>2</f>
        <v>2</v>
      </c>
      <c r="AJ6" s="13">
        <f t="shared" ref="AJ6:AJ68" si="30">AG6+AH6-AI6</f>
        <v>15</v>
      </c>
      <c r="AK6" s="61"/>
      <c r="AL6" s="143">
        <f>2+2+4</f>
        <v>8</v>
      </c>
      <c r="AM6" s="13">
        <f t="shared" si="6"/>
        <v>7</v>
      </c>
      <c r="AN6" s="62"/>
      <c r="AO6" s="143"/>
      <c r="AP6" s="13">
        <f t="shared" si="7"/>
        <v>7</v>
      </c>
      <c r="AQ6" s="62"/>
      <c r="AR6" s="143"/>
      <c r="AS6" s="13">
        <f t="shared" si="8"/>
        <v>7</v>
      </c>
      <c r="AT6" s="62">
        <v>10</v>
      </c>
      <c r="AU6" s="143">
        <f>4</f>
        <v>4</v>
      </c>
      <c r="AV6" s="13">
        <f t="shared" si="9"/>
        <v>13</v>
      </c>
      <c r="AW6" s="62"/>
      <c r="AX6" s="143">
        <f>2+3</f>
        <v>5</v>
      </c>
      <c r="AY6" s="13">
        <f t="shared" si="10"/>
        <v>8</v>
      </c>
      <c r="AZ6" s="62"/>
      <c r="BA6" s="143"/>
      <c r="BB6" s="13">
        <f t="shared" si="11"/>
        <v>8</v>
      </c>
      <c r="BC6" s="62">
        <v>10</v>
      </c>
      <c r="BD6" s="143"/>
      <c r="BE6" s="13">
        <f t="shared" si="12"/>
        <v>18</v>
      </c>
      <c r="BF6" s="62">
        <v>10</v>
      </c>
      <c r="BG6" s="143">
        <v>13</v>
      </c>
      <c r="BH6" s="13">
        <f t="shared" si="13"/>
        <v>15</v>
      </c>
      <c r="BI6" s="62"/>
      <c r="BJ6" s="143"/>
      <c r="BK6" s="13">
        <f t="shared" si="14"/>
        <v>15</v>
      </c>
      <c r="BL6" s="62"/>
      <c r="BM6" s="143"/>
      <c r="BN6" s="13">
        <f t="shared" si="15"/>
        <v>15</v>
      </c>
      <c r="BO6" s="62"/>
      <c r="BP6" s="143">
        <f>1+2+2</f>
        <v>5</v>
      </c>
      <c r="BQ6" s="13">
        <f t="shared" si="16"/>
        <v>10</v>
      </c>
      <c r="BR6" s="62"/>
      <c r="BS6" s="143">
        <v>5</v>
      </c>
      <c r="BT6" s="13">
        <f t="shared" si="17"/>
        <v>5</v>
      </c>
      <c r="BU6" s="62"/>
      <c r="BV6" s="143"/>
      <c r="BW6" s="13">
        <f t="shared" si="18"/>
        <v>5</v>
      </c>
      <c r="BX6" s="62"/>
      <c r="BY6" s="143"/>
      <c r="BZ6" s="13">
        <f t="shared" si="19"/>
        <v>5</v>
      </c>
      <c r="CA6" s="62">
        <v>10</v>
      </c>
      <c r="CB6" s="143"/>
      <c r="CC6" s="13">
        <f t="shared" si="20"/>
        <v>15</v>
      </c>
      <c r="CD6" s="62"/>
      <c r="CE6" s="143"/>
      <c r="CF6" s="13">
        <f t="shared" si="21"/>
        <v>15</v>
      </c>
      <c r="CG6" s="62"/>
      <c r="CH6" s="143">
        <f>3+3+2+1</f>
        <v>9</v>
      </c>
      <c r="CI6" s="13">
        <f t="shared" ref="CI6:CI69" si="31">CF6+CG6-CH6</f>
        <v>6</v>
      </c>
      <c r="CJ6" s="62"/>
      <c r="CK6" s="143"/>
      <c r="CL6" s="13">
        <f t="shared" ref="CL6:CL69" si="32">CI6+CJ6-CK6</f>
        <v>6</v>
      </c>
      <c r="CM6" s="62"/>
      <c r="CN6" s="143"/>
      <c r="CO6" s="13">
        <f t="shared" si="22"/>
        <v>6</v>
      </c>
      <c r="CP6" s="62"/>
      <c r="CQ6" s="143"/>
      <c r="CR6" s="13">
        <f t="shared" ref="CR6:CR69" si="33">CO6+CP6-CQ6</f>
        <v>6</v>
      </c>
      <c r="CS6" s="62"/>
      <c r="CT6" s="143"/>
      <c r="CU6" s="14">
        <f t="shared" si="23"/>
        <v>6</v>
      </c>
      <c r="CV6" s="5">
        <f t="shared" si="24"/>
        <v>100</v>
      </c>
      <c r="CW6" s="4">
        <f t="shared" si="24"/>
        <v>98</v>
      </c>
      <c r="CX6" s="6">
        <f t="shared" si="25"/>
        <v>6</v>
      </c>
      <c r="CY6" s="162">
        <v>210</v>
      </c>
      <c r="CZ6" s="171">
        <f t="shared" si="26"/>
        <v>1260</v>
      </c>
      <c r="DB6" s="2">
        <f t="shared" ref="DB6:DB69" si="34">CU6</f>
        <v>6</v>
      </c>
      <c r="DC6" s="61"/>
      <c r="DD6" s="143">
        <v>3</v>
      </c>
      <c r="DE6" s="149">
        <f t="shared" ref="DE6:DE70" si="35">DC6+DB6-DD6</f>
        <v>3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2"/>
      <c r="N7" s="143"/>
      <c r="O7" s="13">
        <f t="shared" si="2"/>
        <v>0</v>
      </c>
      <c r="P7" s="62"/>
      <c r="Q7" s="143"/>
      <c r="R7" s="30">
        <f t="shared" si="3"/>
        <v>0</v>
      </c>
      <c r="S7" s="62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1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62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2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21</v>
      </c>
      <c r="G8" s="62">
        <v>20</v>
      </c>
      <c r="H8" s="143">
        <v>10</v>
      </c>
      <c r="I8" s="13">
        <f t="shared" si="0"/>
        <v>31</v>
      </c>
      <c r="J8" s="62"/>
      <c r="K8" s="143"/>
      <c r="L8" s="13">
        <f t="shared" si="1"/>
        <v>31</v>
      </c>
      <c r="M8" s="62"/>
      <c r="N8" s="143">
        <v>5</v>
      </c>
      <c r="O8" s="13">
        <f t="shared" si="2"/>
        <v>26</v>
      </c>
      <c r="P8" s="62"/>
      <c r="Q8" s="143">
        <v>11</v>
      </c>
      <c r="R8" s="13">
        <f t="shared" si="3"/>
        <v>15</v>
      </c>
      <c r="S8" s="62"/>
      <c r="T8" s="143"/>
      <c r="U8" s="13">
        <f t="shared" si="4"/>
        <v>15</v>
      </c>
      <c r="V8" s="62">
        <v>20</v>
      </c>
      <c r="W8" s="143">
        <v>3</v>
      </c>
      <c r="X8" s="13">
        <f t="shared" si="5"/>
        <v>32</v>
      </c>
      <c r="Y8" s="62"/>
      <c r="Z8" s="143">
        <v>5</v>
      </c>
      <c r="AA8" s="13">
        <f t="shared" si="27"/>
        <v>27</v>
      </c>
      <c r="AB8" s="62"/>
      <c r="AC8" s="143">
        <v>10</v>
      </c>
      <c r="AD8" s="13">
        <f t="shared" si="28"/>
        <v>17</v>
      </c>
      <c r="AE8" s="62"/>
      <c r="AF8" s="143"/>
      <c r="AG8" s="13">
        <f t="shared" si="29"/>
        <v>17</v>
      </c>
      <c r="AH8" s="62">
        <v>20</v>
      </c>
      <c r="AI8" s="143">
        <v>7</v>
      </c>
      <c r="AJ8" s="13">
        <f t="shared" si="30"/>
        <v>30</v>
      </c>
      <c r="AK8" s="61"/>
      <c r="AL8" s="143">
        <v>13</v>
      </c>
      <c r="AM8" s="13">
        <f t="shared" si="6"/>
        <v>17</v>
      </c>
      <c r="AN8" s="62"/>
      <c r="AO8" s="143"/>
      <c r="AP8" s="13">
        <f t="shared" si="7"/>
        <v>17</v>
      </c>
      <c r="AQ8" s="62">
        <v>20</v>
      </c>
      <c r="AR8" s="143">
        <v>8</v>
      </c>
      <c r="AS8" s="13">
        <f t="shared" si="8"/>
        <v>29</v>
      </c>
      <c r="AT8" s="62"/>
      <c r="AU8" s="143">
        <v>3</v>
      </c>
      <c r="AV8" s="13">
        <f t="shared" si="9"/>
        <v>26</v>
      </c>
      <c r="AW8" s="62">
        <v>20</v>
      </c>
      <c r="AX8" s="143">
        <v>11</v>
      </c>
      <c r="AY8" s="13">
        <f t="shared" si="10"/>
        <v>35</v>
      </c>
      <c r="AZ8" s="62"/>
      <c r="BA8" s="143"/>
      <c r="BB8" s="13">
        <f t="shared" si="11"/>
        <v>35</v>
      </c>
      <c r="BC8" s="62"/>
      <c r="BD8" s="143">
        <v>7</v>
      </c>
      <c r="BE8" s="13">
        <f t="shared" si="12"/>
        <v>28</v>
      </c>
      <c r="BF8" s="62">
        <v>20</v>
      </c>
      <c r="BG8" s="143">
        <v>9</v>
      </c>
      <c r="BH8" s="13">
        <f t="shared" si="13"/>
        <v>39</v>
      </c>
      <c r="BI8" s="62"/>
      <c r="BJ8" s="143"/>
      <c r="BK8" s="13">
        <f t="shared" si="14"/>
        <v>39</v>
      </c>
      <c r="BL8" s="62"/>
      <c r="BM8" s="143">
        <v>6</v>
      </c>
      <c r="BN8" s="13">
        <f t="shared" si="15"/>
        <v>33</v>
      </c>
      <c r="BO8" s="62"/>
      <c r="BP8" s="143">
        <v>9</v>
      </c>
      <c r="BQ8" s="13">
        <f t="shared" si="16"/>
        <v>24</v>
      </c>
      <c r="BR8" s="62">
        <v>20</v>
      </c>
      <c r="BS8" s="143">
        <v>10</v>
      </c>
      <c r="BT8" s="13">
        <f t="shared" si="17"/>
        <v>34</v>
      </c>
      <c r="BU8" s="62"/>
      <c r="BV8" s="143"/>
      <c r="BW8" s="13">
        <f t="shared" si="18"/>
        <v>34</v>
      </c>
      <c r="BX8" s="62"/>
      <c r="BY8" s="143">
        <v>10</v>
      </c>
      <c r="BZ8" s="13">
        <f t="shared" si="19"/>
        <v>24</v>
      </c>
      <c r="CA8" s="62">
        <v>20</v>
      </c>
      <c r="CB8" s="143">
        <v>12</v>
      </c>
      <c r="CC8" s="13">
        <f t="shared" si="20"/>
        <v>32</v>
      </c>
      <c r="CD8" s="62"/>
      <c r="CE8" s="143"/>
      <c r="CF8" s="13">
        <f t="shared" si="21"/>
        <v>32</v>
      </c>
      <c r="CG8" s="62"/>
      <c r="CH8" s="143">
        <v>9</v>
      </c>
      <c r="CI8" s="13">
        <f t="shared" si="31"/>
        <v>23</v>
      </c>
      <c r="CJ8" s="62"/>
      <c r="CK8" s="143">
        <v>1</v>
      </c>
      <c r="CL8" s="13">
        <f t="shared" si="32"/>
        <v>22</v>
      </c>
      <c r="CM8" s="62"/>
      <c r="CN8" s="143"/>
      <c r="CO8" s="13">
        <f t="shared" si="22"/>
        <v>22</v>
      </c>
      <c r="CP8" s="62"/>
      <c r="CQ8" s="143"/>
      <c r="CR8" s="13">
        <f t="shared" si="33"/>
        <v>22</v>
      </c>
      <c r="CS8" s="62"/>
      <c r="CT8" s="143"/>
      <c r="CU8" s="14">
        <f t="shared" si="23"/>
        <v>22</v>
      </c>
      <c r="CV8" s="5">
        <f t="shared" si="24"/>
        <v>160</v>
      </c>
      <c r="CW8" s="4">
        <f t="shared" si="24"/>
        <v>159</v>
      </c>
      <c r="CX8" s="6">
        <f t="shared" si="25"/>
        <v>22</v>
      </c>
      <c r="CY8" s="162">
        <v>125</v>
      </c>
      <c r="CZ8" s="171">
        <f t="shared" si="26"/>
        <v>2750</v>
      </c>
      <c r="DB8" s="2">
        <f t="shared" si="34"/>
        <v>22</v>
      </c>
      <c r="DC8" s="61"/>
      <c r="DD8" s="143"/>
      <c r="DE8" s="149">
        <f t="shared" si="35"/>
        <v>22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2"/>
      <c r="N9" s="143"/>
      <c r="O9" s="13">
        <f t="shared" si="2"/>
        <v>0</v>
      </c>
      <c r="P9" s="62"/>
      <c r="Q9" s="143"/>
      <c r="R9" s="30">
        <f t="shared" si="3"/>
        <v>0</v>
      </c>
      <c r="S9" s="62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1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62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2"/>
      <c r="N10" s="143"/>
      <c r="O10" s="13">
        <f t="shared" si="2"/>
        <v>0</v>
      </c>
      <c r="P10" s="62"/>
      <c r="Q10" s="143"/>
      <c r="R10" s="30">
        <f t="shared" si="3"/>
        <v>0</v>
      </c>
      <c r="S10" s="62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1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62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2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175"/>
      <c r="N11" s="143"/>
      <c r="O11" s="13">
        <f t="shared" si="2"/>
        <v>0</v>
      </c>
      <c r="P11" s="175"/>
      <c r="Q11" s="143"/>
      <c r="R11" s="30">
        <f t="shared" si="3"/>
        <v>0</v>
      </c>
      <c r="S11" s="175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66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7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175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68</v>
      </c>
      <c r="G12" s="62">
        <v>80</v>
      </c>
      <c r="H12" s="143">
        <f>4+59</f>
        <v>63</v>
      </c>
      <c r="I12" s="13">
        <f t="shared" si="0"/>
        <v>85</v>
      </c>
      <c r="J12" s="62"/>
      <c r="K12" s="143"/>
      <c r="L12" s="13">
        <f t="shared" si="1"/>
        <v>85</v>
      </c>
      <c r="M12" s="62">
        <v>20</v>
      </c>
      <c r="N12" s="143">
        <f>4+16</f>
        <v>20</v>
      </c>
      <c r="O12" s="13">
        <f t="shared" si="2"/>
        <v>85</v>
      </c>
      <c r="P12" s="62">
        <v>40</v>
      </c>
      <c r="Q12" s="143">
        <f>6+44</f>
        <v>50</v>
      </c>
      <c r="R12" s="13">
        <f t="shared" si="3"/>
        <v>75</v>
      </c>
      <c r="S12" s="62"/>
      <c r="T12" s="143"/>
      <c r="U12" s="13">
        <f t="shared" si="4"/>
        <v>75</v>
      </c>
      <c r="V12" s="62">
        <v>40</v>
      </c>
      <c r="W12" s="143">
        <f>5+22</f>
        <v>27</v>
      </c>
      <c r="X12" s="13">
        <f t="shared" si="5"/>
        <v>88</v>
      </c>
      <c r="Y12" s="62">
        <v>40</v>
      </c>
      <c r="Z12" s="143">
        <f>3+22</f>
        <v>25</v>
      </c>
      <c r="AA12" s="13">
        <f t="shared" si="27"/>
        <v>103</v>
      </c>
      <c r="AB12" s="62">
        <v>40</v>
      </c>
      <c r="AC12" s="143">
        <f>6+48</f>
        <v>54</v>
      </c>
      <c r="AD12" s="13">
        <f t="shared" si="28"/>
        <v>89</v>
      </c>
      <c r="AE12" s="62"/>
      <c r="AF12" s="143"/>
      <c r="AG12" s="13">
        <f t="shared" si="29"/>
        <v>89</v>
      </c>
      <c r="AH12" s="62">
        <v>20</v>
      </c>
      <c r="AI12" s="143">
        <f>3+36</f>
        <v>39</v>
      </c>
      <c r="AJ12" s="13">
        <f t="shared" si="30"/>
        <v>70</v>
      </c>
      <c r="AK12" s="61"/>
      <c r="AL12" s="143">
        <f>6+51</f>
        <v>57</v>
      </c>
      <c r="AM12" s="13">
        <f t="shared" si="6"/>
        <v>13</v>
      </c>
      <c r="AN12" s="62">
        <v>20</v>
      </c>
      <c r="AO12" s="143"/>
      <c r="AP12" s="13">
        <f t="shared" si="7"/>
        <v>33</v>
      </c>
      <c r="AQ12" s="62">
        <f>-3+20+40</f>
        <v>57</v>
      </c>
      <c r="AR12" s="143">
        <f>3+30</f>
        <v>33</v>
      </c>
      <c r="AS12" s="13">
        <f t="shared" si="8"/>
        <v>57</v>
      </c>
      <c r="AT12" s="62">
        <v>40</v>
      </c>
      <c r="AU12" s="143">
        <f>6+32</f>
        <v>38</v>
      </c>
      <c r="AV12" s="13">
        <f t="shared" si="9"/>
        <v>59</v>
      </c>
      <c r="AW12" s="62">
        <f>-23+40+20</f>
        <v>37</v>
      </c>
      <c r="AX12" s="143">
        <f>5+54</f>
        <v>59</v>
      </c>
      <c r="AY12" s="13">
        <f t="shared" si="10"/>
        <v>37</v>
      </c>
      <c r="AZ12" s="62"/>
      <c r="BA12" s="143"/>
      <c r="BB12" s="13">
        <f t="shared" si="11"/>
        <v>37</v>
      </c>
      <c r="BC12" s="62">
        <f>-1+60</f>
        <v>59</v>
      </c>
      <c r="BD12" s="143">
        <f>5+27</f>
        <v>32</v>
      </c>
      <c r="BE12" s="13">
        <f t="shared" si="12"/>
        <v>64</v>
      </c>
      <c r="BF12" s="62">
        <v>40</v>
      </c>
      <c r="BG12" s="143">
        <f>5+39</f>
        <v>44</v>
      </c>
      <c r="BH12" s="13">
        <f t="shared" si="13"/>
        <v>60</v>
      </c>
      <c r="BI12" s="62"/>
      <c r="BJ12" s="143"/>
      <c r="BK12" s="13">
        <f t="shared" si="14"/>
        <v>60</v>
      </c>
      <c r="BL12" s="62">
        <v>40</v>
      </c>
      <c r="BM12" s="143">
        <f>6+17</f>
        <v>23</v>
      </c>
      <c r="BN12" s="13">
        <f t="shared" si="15"/>
        <v>77</v>
      </c>
      <c r="BO12" s="62">
        <v>60</v>
      </c>
      <c r="BP12" s="143">
        <f>3+30</f>
        <v>33</v>
      </c>
      <c r="BQ12" s="13">
        <f t="shared" si="16"/>
        <v>104</v>
      </c>
      <c r="BR12" s="62">
        <v>80</v>
      </c>
      <c r="BS12" s="143">
        <f>10+60</f>
        <v>70</v>
      </c>
      <c r="BT12" s="13">
        <f t="shared" si="17"/>
        <v>114</v>
      </c>
      <c r="BU12" s="62"/>
      <c r="BV12" s="143"/>
      <c r="BW12" s="13">
        <f t="shared" si="18"/>
        <v>114</v>
      </c>
      <c r="BX12" s="62"/>
      <c r="BY12" s="143">
        <f>5+28</f>
        <v>33</v>
      </c>
      <c r="BZ12" s="13">
        <f t="shared" si="19"/>
        <v>81</v>
      </c>
      <c r="CA12" s="62">
        <v>20</v>
      </c>
      <c r="CB12" s="143">
        <f>4+44</f>
        <v>48</v>
      </c>
      <c r="CC12" s="13">
        <f t="shared" si="20"/>
        <v>53</v>
      </c>
      <c r="CD12" s="62"/>
      <c r="CE12" s="143"/>
      <c r="CF12" s="13">
        <f t="shared" si="21"/>
        <v>53</v>
      </c>
      <c r="CG12" s="62">
        <v>20</v>
      </c>
      <c r="CH12" s="143">
        <f>4+20</f>
        <v>24</v>
      </c>
      <c r="CI12" s="13">
        <f t="shared" si="31"/>
        <v>49</v>
      </c>
      <c r="CJ12" s="62">
        <v>40</v>
      </c>
      <c r="CK12" s="143">
        <v>40</v>
      </c>
      <c r="CL12" s="13">
        <f t="shared" si="32"/>
        <v>49</v>
      </c>
      <c r="CM12" s="62"/>
      <c r="CN12" s="143"/>
      <c r="CO12" s="13">
        <f t="shared" si="22"/>
        <v>49</v>
      </c>
      <c r="CP12" s="62"/>
      <c r="CQ12" s="143"/>
      <c r="CR12" s="13">
        <f t="shared" si="33"/>
        <v>49</v>
      </c>
      <c r="CS12" s="62"/>
      <c r="CT12" s="143"/>
      <c r="CU12" s="14">
        <f t="shared" si="23"/>
        <v>49</v>
      </c>
      <c r="CV12" s="5">
        <f t="shared" si="24"/>
        <v>793</v>
      </c>
      <c r="CW12" s="4">
        <f t="shared" si="24"/>
        <v>812</v>
      </c>
      <c r="CX12" s="6">
        <f t="shared" si="25"/>
        <v>49</v>
      </c>
      <c r="CY12" s="162">
        <v>45</v>
      </c>
      <c r="CZ12" s="171">
        <f t="shared" si="26"/>
        <v>2205</v>
      </c>
      <c r="DB12" s="2">
        <f t="shared" si="34"/>
        <v>49</v>
      </c>
      <c r="DC12" s="61"/>
      <c r="DD12" s="143"/>
      <c r="DE12" s="149">
        <f t="shared" si="35"/>
        <v>49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3.5</v>
      </c>
      <c r="G13" s="62">
        <v>6</v>
      </c>
      <c r="H13" s="143">
        <f>1+0.5</f>
        <v>1.5</v>
      </c>
      <c r="I13" s="13">
        <f t="shared" si="0"/>
        <v>8</v>
      </c>
      <c r="J13" s="62"/>
      <c r="K13" s="143"/>
      <c r="L13" s="13">
        <f t="shared" si="1"/>
        <v>8</v>
      </c>
      <c r="M13" s="62"/>
      <c r="N13" s="143">
        <f>3</f>
        <v>3</v>
      </c>
      <c r="O13" s="13">
        <f t="shared" si="2"/>
        <v>5</v>
      </c>
      <c r="P13" s="62"/>
      <c r="Q13" s="143">
        <v>1</v>
      </c>
      <c r="R13" s="30">
        <f t="shared" si="3"/>
        <v>4</v>
      </c>
      <c r="S13" s="62"/>
      <c r="T13" s="143"/>
      <c r="U13" s="13">
        <f t="shared" si="4"/>
        <v>4</v>
      </c>
      <c r="V13" s="62">
        <v>6</v>
      </c>
      <c r="W13" s="143">
        <f>1</f>
        <v>1</v>
      </c>
      <c r="X13" s="13">
        <f t="shared" si="5"/>
        <v>9</v>
      </c>
      <c r="Y13" s="62"/>
      <c r="Z13" s="143">
        <f>1</f>
        <v>1</v>
      </c>
      <c r="AA13" s="13">
        <f t="shared" si="27"/>
        <v>8</v>
      </c>
      <c r="AB13" s="62">
        <v>6</v>
      </c>
      <c r="AC13" s="143">
        <f>1+3</f>
        <v>4</v>
      </c>
      <c r="AD13" s="13">
        <f t="shared" si="28"/>
        <v>10</v>
      </c>
      <c r="AE13" s="62"/>
      <c r="AF13" s="143"/>
      <c r="AG13" s="13">
        <f t="shared" si="29"/>
        <v>10</v>
      </c>
      <c r="AH13" s="62"/>
      <c r="AI13" s="143">
        <f>0.75+1</f>
        <v>1.75</v>
      </c>
      <c r="AJ13" s="13">
        <f t="shared" si="30"/>
        <v>8.25</v>
      </c>
      <c r="AK13" s="61"/>
      <c r="AL13" s="143">
        <f>1</f>
        <v>1</v>
      </c>
      <c r="AM13" s="13">
        <f t="shared" si="6"/>
        <v>7.25</v>
      </c>
      <c r="AN13" s="62"/>
      <c r="AO13" s="143"/>
      <c r="AP13" s="13">
        <f t="shared" si="7"/>
        <v>7.25</v>
      </c>
      <c r="AQ13" s="62"/>
      <c r="AR13" s="143"/>
      <c r="AS13" s="13">
        <f t="shared" si="8"/>
        <v>7.25</v>
      </c>
      <c r="AT13" s="62">
        <v>6</v>
      </c>
      <c r="AU13" s="143">
        <f>2</f>
        <v>2</v>
      </c>
      <c r="AV13" s="13">
        <f t="shared" si="9"/>
        <v>11.25</v>
      </c>
      <c r="AW13" s="62">
        <v>-1</v>
      </c>
      <c r="AX13" s="143">
        <f>1+0.25</f>
        <v>1.25</v>
      </c>
      <c r="AY13" s="13">
        <f t="shared" si="10"/>
        <v>9</v>
      </c>
      <c r="AZ13" s="62"/>
      <c r="BA13" s="143"/>
      <c r="BB13" s="13">
        <f t="shared" si="11"/>
        <v>9</v>
      </c>
      <c r="BC13" s="62"/>
      <c r="BD13" s="143">
        <f>2.75</f>
        <v>2.75</v>
      </c>
      <c r="BE13" s="13">
        <f t="shared" si="12"/>
        <v>6.25</v>
      </c>
      <c r="BF13" s="62"/>
      <c r="BG13" s="143"/>
      <c r="BH13" s="13">
        <f t="shared" si="13"/>
        <v>6.25</v>
      </c>
      <c r="BI13" s="62"/>
      <c r="BJ13" s="143"/>
      <c r="BK13" s="13">
        <f t="shared" si="14"/>
        <v>6.25</v>
      </c>
      <c r="BL13" s="62"/>
      <c r="BM13" s="143">
        <f>1</f>
        <v>1</v>
      </c>
      <c r="BN13" s="13">
        <f t="shared" si="15"/>
        <v>5.25</v>
      </c>
      <c r="BO13" s="62">
        <v>6</v>
      </c>
      <c r="BP13" s="143">
        <f>2</f>
        <v>2</v>
      </c>
      <c r="BQ13" s="13">
        <f t="shared" si="16"/>
        <v>9.25</v>
      </c>
      <c r="BR13" s="62">
        <v>6</v>
      </c>
      <c r="BS13" s="143">
        <f>1+3+1.75</f>
        <v>5.75</v>
      </c>
      <c r="BT13" s="13">
        <f t="shared" si="17"/>
        <v>9.5</v>
      </c>
      <c r="BU13" s="62"/>
      <c r="BV13" s="143"/>
      <c r="BW13" s="13">
        <f t="shared" si="18"/>
        <v>9.5</v>
      </c>
      <c r="BX13" s="62"/>
      <c r="BY13" s="143"/>
      <c r="BZ13" s="13">
        <f t="shared" si="19"/>
        <v>9.5</v>
      </c>
      <c r="CA13" s="62"/>
      <c r="CB13" s="143">
        <f>1+0.75+1+1+1</f>
        <v>4.75</v>
      </c>
      <c r="CC13" s="13">
        <f t="shared" si="20"/>
        <v>4.75</v>
      </c>
      <c r="CD13" s="62"/>
      <c r="CE13" s="143"/>
      <c r="CF13" s="13">
        <f t="shared" si="21"/>
        <v>4.75</v>
      </c>
      <c r="CG13" s="62"/>
      <c r="CH13" s="143">
        <f>1</f>
        <v>1</v>
      </c>
      <c r="CI13" s="13">
        <f>CF13+CG13-CH13</f>
        <v>3.75</v>
      </c>
      <c r="CJ13" s="62"/>
      <c r="CK13" s="143"/>
      <c r="CL13" s="13">
        <f>CI13+CJ13-CK13</f>
        <v>3.75</v>
      </c>
      <c r="CM13" s="62"/>
      <c r="CN13" s="143"/>
      <c r="CO13" s="13">
        <f t="shared" si="22"/>
        <v>3.75</v>
      </c>
      <c r="CP13" s="62"/>
      <c r="CQ13" s="143"/>
      <c r="CR13" s="13">
        <f t="shared" si="33"/>
        <v>3.75</v>
      </c>
      <c r="CS13" s="62"/>
      <c r="CT13" s="143"/>
      <c r="CU13" s="14">
        <f t="shared" si="23"/>
        <v>3.75</v>
      </c>
      <c r="CV13" s="5">
        <f t="shared" si="24"/>
        <v>35</v>
      </c>
      <c r="CW13" s="4">
        <f t="shared" si="24"/>
        <v>34.75</v>
      </c>
      <c r="CX13" s="6">
        <f t="shared" si="25"/>
        <v>3.75</v>
      </c>
      <c r="CY13" s="162">
        <v>583</v>
      </c>
      <c r="CZ13" s="171">
        <f t="shared" si="26"/>
        <v>2186.25</v>
      </c>
      <c r="DB13" s="2">
        <f t="shared" si="34"/>
        <v>3.75</v>
      </c>
      <c r="DC13" s="61"/>
      <c r="DD13" s="143"/>
      <c r="DE13" s="149">
        <f t="shared" si="35"/>
        <v>3.75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7</v>
      </c>
      <c r="G14" s="62">
        <v>8</v>
      </c>
      <c r="H14" s="143">
        <f>2+2+1.5+1+2</f>
        <v>8.5</v>
      </c>
      <c r="I14" s="13">
        <f t="shared" si="0"/>
        <v>6.5</v>
      </c>
      <c r="J14" s="62"/>
      <c r="K14" s="143"/>
      <c r="L14" s="13">
        <f t="shared" si="1"/>
        <v>6.5</v>
      </c>
      <c r="M14" s="62">
        <v>8</v>
      </c>
      <c r="N14" s="143">
        <f>2</f>
        <v>2</v>
      </c>
      <c r="O14" s="13">
        <f t="shared" si="2"/>
        <v>12.5</v>
      </c>
      <c r="P14" s="62"/>
      <c r="Q14" s="143">
        <f>1+1+2+1.5</f>
        <v>5.5</v>
      </c>
      <c r="R14" s="30">
        <f t="shared" si="3"/>
        <v>7</v>
      </c>
      <c r="S14" s="62"/>
      <c r="T14" s="143"/>
      <c r="U14" s="13">
        <f t="shared" si="4"/>
        <v>7</v>
      </c>
      <c r="V14" s="62"/>
      <c r="W14" s="143">
        <f>0.5</f>
        <v>0.5</v>
      </c>
      <c r="X14" s="13">
        <f t="shared" si="5"/>
        <v>6.5</v>
      </c>
      <c r="Y14" s="62">
        <v>8</v>
      </c>
      <c r="Z14" s="143">
        <f>3</f>
        <v>3</v>
      </c>
      <c r="AA14" s="13">
        <f t="shared" si="27"/>
        <v>11.5</v>
      </c>
      <c r="AB14" s="62"/>
      <c r="AC14" s="143">
        <f>1.5+2+1+1</f>
        <v>5.5</v>
      </c>
      <c r="AD14" s="13">
        <f t="shared" si="28"/>
        <v>6</v>
      </c>
      <c r="AE14" s="62"/>
      <c r="AF14" s="143"/>
      <c r="AG14" s="13">
        <f t="shared" si="29"/>
        <v>6</v>
      </c>
      <c r="AH14" s="62">
        <v>16</v>
      </c>
      <c r="AI14" s="143">
        <f>1+2</f>
        <v>3</v>
      </c>
      <c r="AJ14" s="13">
        <f t="shared" si="30"/>
        <v>19</v>
      </c>
      <c r="AK14" s="61"/>
      <c r="AL14" s="143">
        <f>6+3+1.5</f>
        <v>10.5</v>
      </c>
      <c r="AM14" s="13">
        <f t="shared" si="6"/>
        <v>8.5</v>
      </c>
      <c r="AN14" s="62"/>
      <c r="AO14" s="143"/>
      <c r="AP14" s="13">
        <f t="shared" si="7"/>
        <v>8.5</v>
      </c>
      <c r="AQ14" s="62"/>
      <c r="AR14" s="143">
        <f>0.5+0.5+0.5</f>
        <v>1.5</v>
      </c>
      <c r="AS14" s="13">
        <f t="shared" si="8"/>
        <v>7</v>
      </c>
      <c r="AT14" s="62"/>
      <c r="AU14" s="143">
        <f>1.5+2</f>
        <v>3.5</v>
      </c>
      <c r="AV14" s="13">
        <f t="shared" si="9"/>
        <v>3.5</v>
      </c>
      <c r="AW14" s="62">
        <v>8</v>
      </c>
      <c r="AX14" s="143">
        <f>1+1</f>
        <v>2</v>
      </c>
      <c r="AY14" s="180">
        <f t="shared" si="10"/>
        <v>9.5</v>
      </c>
      <c r="AZ14" s="62"/>
      <c r="BA14" s="143"/>
      <c r="BB14" s="13">
        <f t="shared" si="11"/>
        <v>9.5</v>
      </c>
      <c r="BC14" s="62">
        <v>8</v>
      </c>
      <c r="BD14" s="143">
        <f>1+3+1+1</f>
        <v>6</v>
      </c>
      <c r="BE14" s="13">
        <f t="shared" si="12"/>
        <v>11.5</v>
      </c>
      <c r="BF14" s="62">
        <v>8</v>
      </c>
      <c r="BG14" s="143">
        <v>9</v>
      </c>
      <c r="BH14" s="13">
        <f t="shared" si="13"/>
        <v>10.5</v>
      </c>
      <c r="BI14" s="62"/>
      <c r="BJ14" s="143"/>
      <c r="BK14" s="13">
        <f t="shared" si="14"/>
        <v>10.5</v>
      </c>
      <c r="BL14" s="62"/>
      <c r="BM14" s="143">
        <f>0.5</f>
        <v>0.5</v>
      </c>
      <c r="BN14" s="13">
        <f t="shared" si="15"/>
        <v>10</v>
      </c>
      <c r="BO14" s="62">
        <v>8</v>
      </c>
      <c r="BP14" s="143">
        <f>3</f>
        <v>3</v>
      </c>
      <c r="BQ14" s="13">
        <f t="shared" si="16"/>
        <v>15</v>
      </c>
      <c r="BR14" s="62"/>
      <c r="BS14" s="143">
        <v>9</v>
      </c>
      <c r="BT14" s="13">
        <f t="shared" si="17"/>
        <v>6</v>
      </c>
      <c r="BU14" s="62"/>
      <c r="BV14" s="143"/>
      <c r="BW14" s="13">
        <f t="shared" si="18"/>
        <v>6</v>
      </c>
      <c r="BX14" s="62"/>
      <c r="BY14" s="143"/>
      <c r="BZ14" s="13">
        <f t="shared" si="19"/>
        <v>6</v>
      </c>
      <c r="CA14" s="62">
        <v>8</v>
      </c>
      <c r="CB14" s="143">
        <f>1.5+1.5</f>
        <v>3</v>
      </c>
      <c r="CC14" s="13">
        <f t="shared" si="20"/>
        <v>11</v>
      </c>
      <c r="CD14" s="62"/>
      <c r="CE14" s="143"/>
      <c r="CF14" s="13">
        <f t="shared" si="21"/>
        <v>11</v>
      </c>
      <c r="CG14" s="62"/>
      <c r="CH14" s="143">
        <f>2+0.5+0.5+0.5</f>
        <v>3.5</v>
      </c>
      <c r="CI14" s="13">
        <f t="shared" si="31"/>
        <v>7.5</v>
      </c>
      <c r="CJ14" s="62"/>
      <c r="CK14" s="143"/>
      <c r="CL14" s="13">
        <f t="shared" si="32"/>
        <v>7.5</v>
      </c>
      <c r="CM14" s="62"/>
      <c r="CN14" s="143"/>
      <c r="CO14" s="13">
        <f t="shared" si="22"/>
        <v>7.5</v>
      </c>
      <c r="CP14" s="62"/>
      <c r="CQ14" s="143"/>
      <c r="CR14" s="13">
        <f t="shared" si="33"/>
        <v>7.5</v>
      </c>
      <c r="CS14" s="62"/>
      <c r="CT14" s="143"/>
      <c r="CU14" s="14">
        <f t="shared" si="23"/>
        <v>7.5</v>
      </c>
      <c r="CV14" s="5">
        <f t="shared" si="24"/>
        <v>80</v>
      </c>
      <c r="CW14" s="4">
        <f t="shared" si="24"/>
        <v>79.5</v>
      </c>
      <c r="CX14" s="6">
        <f t="shared" si="25"/>
        <v>7.5</v>
      </c>
      <c r="CY14" s="162">
        <v>375</v>
      </c>
      <c r="CZ14" s="171">
        <f t="shared" si="26"/>
        <v>2812.5</v>
      </c>
      <c r="DB14" s="2">
        <f t="shared" si="34"/>
        <v>7.5</v>
      </c>
      <c r="DC14" s="61"/>
      <c r="DD14" s="143">
        <f>0.5+3</f>
        <v>3.5</v>
      </c>
      <c r="DE14" s="149">
        <f t="shared" si="35"/>
        <v>4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26</v>
      </c>
      <c r="G15" s="62">
        <v>4</v>
      </c>
      <c r="H15" s="143">
        <f>3+8+9</f>
        <v>20</v>
      </c>
      <c r="I15" s="13">
        <f t="shared" si="0"/>
        <v>10</v>
      </c>
      <c r="J15" s="62"/>
      <c r="K15" s="143"/>
      <c r="L15" s="13">
        <f t="shared" si="1"/>
        <v>10</v>
      </c>
      <c r="M15" s="62">
        <v>90</v>
      </c>
      <c r="N15" s="143">
        <f>10+20+8+7</f>
        <v>45</v>
      </c>
      <c r="O15" s="13">
        <f t="shared" si="2"/>
        <v>55</v>
      </c>
      <c r="P15" s="62">
        <v>8</v>
      </c>
      <c r="Q15" s="143">
        <f>2+7+14+8+7+20</f>
        <v>58</v>
      </c>
      <c r="R15" s="30">
        <f t="shared" si="3"/>
        <v>5</v>
      </c>
      <c r="S15" s="62"/>
      <c r="T15" s="143"/>
      <c r="U15" s="13">
        <f t="shared" si="4"/>
        <v>5</v>
      </c>
      <c r="V15" s="62">
        <v>90</v>
      </c>
      <c r="W15" s="143">
        <f>2+2+1+2</f>
        <v>7</v>
      </c>
      <c r="X15" s="13">
        <f t="shared" si="5"/>
        <v>88</v>
      </c>
      <c r="Y15" s="62"/>
      <c r="Z15" s="143">
        <f>30+8</f>
        <v>38</v>
      </c>
      <c r="AA15" s="13">
        <f t="shared" si="27"/>
        <v>50</v>
      </c>
      <c r="AB15" s="62">
        <v>45</v>
      </c>
      <c r="AC15" s="143">
        <f>9+11+4+8</f>
        <v>32</v>
      </c>
      <c r="AD15" s="13">
        <f t="shared" si="28"/>
        <v>63</v>
      </c>
      <c r="AE15" s="62"/>
      <c r="AF15" s="143"/>
      <c r="AG15" s="13">
        <f t="shared" si="29"/>
        <v>63</v>
      </c>
      <c r="AH15" s="62">
        <v>45</v>
      </c>
      <c r="AI15" s="143">
        <f>2+4+9+4+20</f>
        <v>39</v>
      </c>
      <c r="AJ15" s="13">
        <f t="shared" si="30"/>
        <v>69</v>
      </c>
      <c r="AK15" s="61"/>
      <c r="AL15" s="143">
        <f>2+30+9+8+9+4+4</f>
        <v>66</v>
      </c>
      <c r="AM15" s="13">
        <f t="shared" si="6"/>
        <v>3</v>
      </c>
      <c r="AN15" s="62"/>
      <c r="AO15" s="143"/>
      <c r="AP15" s="13">
        <f t="shared" si="7"/>
        <v>3</v>
      </c>
      <c r="AQ15" s="62">
        <v>90</v>
      </c>
      <c r="AR15" s="143">
        <f>1+1+1</f>
        <v>3</v>
      </c>
      <c r="AS15" s="13">
        <f t="shared" si="8"/>
        <v>90</v>
      </c>
      <c r="AT15" s="62"/>
      <c r="AU15" s="143">
        <f>2+20+9+8</f>
        <v>39</v>
      </c>
      <c r="AV15" s="13">
        <f t="shared" si="9"/>
        <v>51</v>
      </c>
      <c r="AW15" s="62">
        <v>45</v>
      </c>
      <c r="AX15" s="143">
        <f>8+4+10+10+6+10+5</f>
        <v>53</v>
      </c>
      <c r="AY15" s="13">
        <f t="shared" si="10"/>
        <v>43</v>
      </c>
      <c r="AZ15" s="62"/>
      <c r="BA15" s="143"/>
      <c r="BB15" s="13">
        <f t="shared" si="11"/>
        <v>43</v>
      </c>
      <c r="BC15" s="62">
        <f>45+30</f>
        <v>75</v>
      </c>
      <c r="BD15" s="143">
        <f>9+4+4</f>
        <v>17</v>
      </c>
      <c r="BE15" s="13">
        <f t="shared" si="12"/>
        <v>101</v>
      </c>
      <c r="BF15" s="62">
        <v>45</v>
      </c>
      <c r="BG15" s="143">
        <v>47</v>
      </c>
      <c r="BH15" s="13">
        <f t="shared" si="13"/>
        <v>99</v>
      </c>
      <c r="BI15" s="62"/>
      <c r="BJ15" s="143"/>
      <c r="BK15" s="13">
        <f t="shared" si="14"/>
        <v>99</v>
      </c>
      <c r="BL15" s="62"/>
      <c r="BM15" s="143"/>
      <c r="BN15" s="13">
        <f t="shared" si="15"/>
        <v>99</v>
      </c>
      <c r="BO15" s="62">
        <v>18</v>
      </c>
      <c r="BP15" s="143">
        <f>2+20</f>
        <v>22</v>
      </c>
      <c r="BQ15" s="13">
        <f t="shared" si="16"/>
        <v>95</v>
      </c>
      <c r="BR15" s="62"/>
      <c r="BS15" s="143">
        <v>50</v>
      </c>
      <c r="BT15" s="13">
        <f t="shared" si="17"/>
        <v>45</v>
      </c>
      <c r="BU15" s="62"/>
      <c r="BV15" s="143"/>
      <c r="BW15" s="13">
        <f t="shared" si="18"/>
        <v>45</v>
      </c>
      <c r="BX15" s="62"/>
      <c r="BY15" s="143"/>
      <c r="BZ15" s="13">
        <f t="shared" si="19"/>
        <v>45</v>
      </c>
      <c r="CA15" s="62">
        <v>90</v>
      </c>
      <c r="CB15" s="143">
        <f>13+13+9+4+11+11+8</f>
        <v>69</v>
      </c>
      <c r="CC15" s="13">
        <f t="shared" si="20"/>
        <v>66</v>
      </c>
      <c r="CD15" s="62"/>
      <c r="CE15" s="143"/>
      <c r="CF15" s="13">
        <f t="shared" si="21"/>
        <v>66</v>
      </c>
      <c r="CG15" s="62">
        <v>10</v>
      </c>
      <c r="CH15" s="143">
        <f>20+7+2+3</f>
        <v>32</v>
      </c>
      <c r="CI15" s="13">
        <f t="shared" si="31"/>
        <v>44</v>
      </c>
      <c r="CJ15" s="62"/>
      <c r="CK15" s="143">
        <f>4</f>
        <v>4</v>
      </c>
      <c r="CL15" s="13">
        <f t="shared" si="32"/>
        <v>40</v>
      </c>
      <c r="CM15" s="62"/>
      <c r="CN15" s="143"/>
      <c r="CO15" s="13">
        <f t="shared" si="22"/>
        <v>40</v>
      </c>
      <c r="CP15" s="62"/>
      <c r="CQ15" s="143"/>
      <c r="CR15" s="13">
        <f t="shared" si="33"/>
        <v>40</v>
      </c>
      <c r="CS15" s="62"/>
      <c r="CT15" s="143"/>
      <c r="CU15" s="14">
        <f t="shared" si="23"/>
        <v>40</v>
      </c>
      <c r="CV15" s="5">
        <f t="shared" si="24"/>
        <v>655</v>
      </c>
      <c r="CW15" s="4">
        <f t="shared" si="24"/>
        <v>641</v>
      </c>
      <c r="CX15" s="6">
        <f t="shared" si="25"/>
        <v>40</v>
      </c>
      <c r="CY15" s="162">
        <v>62</v>
      </c>
      <c r="CZ15" s="171">
        <f t="shared" si="26"/>
        <v>2480</v>
      </c>
      <c r="DB15" s="2">
        <f t="shared" si="34"/>
        <v>40</v>
      </c>
      <c r="DC15" s="61"/>
      <c r="DD15" s="143">
        <f>4+10+4+4</f>
        <v>22</v>
      </c>
      <c r="DE15" s="149">
        <f t="shared" si="35"/>
        <v>18</v>
      </c>
    </row>
    <row r="16" spans="1:109" ht="15.75" customHeight="1">
      <c r="A16" s="33" t="s">
        <v>44</v>
      </c>
      <c r="B16" s="49" t="s">
        <v>45</v>
      </c>
      <c r="C16" s="108" t="s">
        <v>32</v>
      </c>
      <c r="D16" s="52">
        <v>4</v>
      </c>
      <c r="E16" s="52" t="s">
        <v>41</v>
      </c>
      <c r="F16" s="14">
        <v>8</v>
      </c>
      <c r="G16" s="176">
        <f>2+25-41+75</f>
        <v>61</v>
      </c>
      <c r="H16" s="143">
        <f>6+4+7+6+3+5</f>
        <v>31</v>
      </c>
      <c r="I16" s="13">
        <f t="shared" si="0"/>
        <v>38</v>
      </c>
      <c r="J16" s="176"/>
      <c r="K16" s="143"/>
      <c r="L16" s="13">
        <f t="shared" si="1"/>
        <v>38</v>
      </c>
      <c r="M16" s="176">
        <v>25</v>
      </c>
      <c r="N16" s="143">
        <f>3+8+8</f>
        <v>19</v>
      </c>
      <c r="O16" s="13">
        <f t="shared" si="2"/>
        <v>44</v>
      </c>
      <c r="P16" s="176">
        <v>60</v>
      </c>
      <c r="Q16" s="143">
        <f>3+2+24+8+5</f>
        <v>42</v>
      </c>
      <c r="R16" s="30">
        <f t="shared" si="3"/>
        <v>62</v>
      </c>
      <c r="S16" s="176"/>
      <c r="T16" s="143"/>
      <c r="U16" s="13">
        <f t="shared" si="4"/>
        <v>62</v>
      </c>
      <c r="V16" s="176">
        <v>25</v>
      </c>
      <c r="W16" s="143">
        <f>3+12+1+1+1+1</f>
        <v>19</v>
      </c>
      <c r="X16" s="13">
        <f t="shared" si="5"/>
        <v>68</v>
      </c>
      <c r="Y16" s="176">
        <v>25</v>
      </c>
      <c r="Z16" s="143">
        <f>8+13+4</f>
        <v>25</v>
      </c>
      <c r="AA16" s="13">
        <f t="shared" si="27"/>
        <v>68</v>
      </c>
      <c r="AB16" s="176">
        <v>60</v>
      </c>
      <c r="AC16" s="143">
        <f>4+4+28+10+16+8</f>
        <v>70</v>
      </c>
      <c r="AD16" s="13">
        <f t="shared" si="28"/>
        <v>58</v>
      </c>
      <c r="AE16" s="176"/>
      <c r="AF16" s="143"/>
      <c r="AG16" s="13">
        <f t="shared" si="29"/>
        <v>58</v>
      </c>
      <c r="AH16" s="176">
        <v>60</v>
      </c>
      <c r="AI16" s="143">
        <f>4+9+4+7</f>
        <v>24</v>
      </c>
      <c r="AJ16" s="13">
        <f t="shared" si="30"/>
        <v>94</v>
      </c>
      <c r="AK16" s="63"/>
      <c r="AL16" s="143">
        <f>6+19+3+4</f>
        <v>32</v>
      </c>
      <c r="AM16" s="13">
        <f t="shared" si="6"/>
        <v>62</v>
      </c>
      <c r="AN16" s="176"/>
      <c r="AO16" s="143"/>
      <c r="AP16" s="13">
        <f t="shared" si="7"/>
        <v>62</v>
      </c>
      <c r="AQ16" s="176">
        <v>30</v>
      </c>
      <c r="AR16" s="143">
        <f>3+12+13+3+4+1+1+2</f>
        <v>39</v>
      </c>
      <c r="AS16" s="13">
        <f t="shared" si="8"/>
        <v>53</v>
      </c>
      <c r="AT16" s="176">
        <v>25</v>
      </c>
      <c r="AU16" s="143">
        <f>3+6+9+6+3+5</f>
        <v>32</v>
      </c>
      <c r="AV16" s="13">
        <f t="shared" si="9"/>
        <v>46</v>
      </c>
      <c r="AW16" s="176">
        <f>25+25</f>
        <v>50</v>
      </c>
      <c r="AX16" s="143">
        <f>3+4+37+5+4+4+5+5</f>
        <v>67</v>
      </c>
      <c r="AY16" s="13">
        <f t="shared" si="10"/>
        <v>29</v>
      </c>
      <c r="AZ16" s="176"/>
      <c r="BA16" s="143"/>
      <c r="BB16" s="13">
        <f t="shared" si="11"/>
        <v>29</v>
      </c>
      <c r="BC16" s="176">
        <f>25+25</f>
        <v>50</v>
      </c>
      <c r="BD16" s="143">
        <f>4+4+7+8</f>
        <v>23</v>
      </c>
      <c r="BE16" s="13">
        <f t="shared" si="12"/>
        <v>56</v>
      </c>
      <c r="BF16" s="176">
        <v>25</v>
      </c>
      <c r="BG16" s="143">
        <f>6+2+10+8+5+3+6</f>
        <v>40</v>
      </c>
      <c r="BH16" s="13">
        <f t="shared" si="13"/>
        <v>41</v>
      </c>
      <c r="BI16" s="176"/>
      <c r="BJ16" s="143"/>
      <c r="BK16" s="13">
        <f t="shared" si="14"/>
        <v>41</v>
      </c>
      <c r="BL16" s="176">
        <v>25</v>
      </c>
      <c r="BM16" s="143">
        <f>4+9+1+1</f>
        <v>15</v>
      </c>
      <c r="BN16" s="13">
        <f t="shared" si="15"/>
        <v>51</v>
      </c>
      <c r="BO16" s="176">
        <v>60</v>
      </c>
      <c r="BP16" s="143">
        <f>10</f>
        <v>10</v>
      </c>
      <c r="BQ16" s="13">
        <f t="shared" si="16"/>
        <v>101</v>
      </c>
      <c r="BR16" s="176">
        <v>30</v>
      </c>
      <c r="BS16" s="143">
        <f>6+6+35+5+4+4+10+4+5+4+5</f>
        <v>88</v>
      </c>
      <c r="BT16" s="13">
        <f t="shared" si="17"/>
        <v>43</v>
      </c>
      <c r="BU16" s="176"/>
      <c r="BV16" s="143"/>
      <c r="BW16" s="13">
        <f t="shared" si="18"/>
        <v>43</v>
      </c>
      <c r="BX16" s="176"/>
      <c r="BY16" s="143">
        <f>2+13+4</f>
        <v>19</v>
      </c>
      <c r="BZ16" s="13">
        <f t="shared" si="19"/>
        <v>24</v>
      </c>
      <c r="CA16" s="176">
        <f>-1+25</f>
        <v>24</v>
      </c>
      <c r="CB16" s="143">
        <f>3+4+17+3</f>
        <v>27</v>
      </c>
      <c r="CC16" s="13">
        <f t="shared" si="20"/>
        <v>21</v>
      </c>
      <c r="CD16" s="176"/>
      <c r="CE16" s="143"/>
      <c r="CF16" s="13">
        <f t="shared" si="21"/>
        <v>21</v>
      </c>
      <c r="CG16" s="176"/>
      <c r="CH16" s="143">
        <f>3+4+2</f>
        <v>9</v>
      </c>
      <c r="CI16" s="13">
        <f t="shared" si="31"/>
        <v>12</v>
      </c>
      <c r="CJ16" s="176"/>
      <c r="CK16" s="143"/>
      <c r="CL16" s="13">
        <f t="shared" si="32"/>
        <v>12</v>
      </c>
      <c r="CM16" s="176"/>
      <c r="CN16" s="143"/>
      <c r="CO16" s="13">
        <f t="shared" si="22"/>
        <v>12</v>
      </c>
      <c r="CP16" s="176"/>
      <c r="CQ16" s="143"/>
      <c r="CR16" s="13">
        <f t="shared" si="33"/>
        <v>12</v>
      </c>
      <c r="CS16" s="176"/>
      <c r="CT16" s="143"/>
      <c r="CU16" s="14">
        <f t="shared" si="23"/>
        <v>12</v>
      </c>
      <c r="CV16" s="5">
        <f t="shared" si="24"/>
        <v>635</v>
      </c>
      <c r="CW16" s="4">
        <f t="shared" si="24"/>
        <v>631</v>
      </c>
      <c r="CX16" s="6">
        <f t="shared" si="25"/>
        <v>12</v>
      </c>
      <c r="CY16" s="162">
        <v>125</v>
      </c>
      <c r="CZ16" s="171">
        <f t="shared" si="26"/>
        <v>1500</v>
      </c>
      <c r="DB16" s="2">
        <f t="shared" si="34"/>
        <v>12</v>
      </c>
      <c r="DC16" s="63"/>
      <c r="DD16" s="143">
        <v>2</v>
      </c>
      <c r="DE16" s="149">
        <f t="shared" si="35"/>
        <v>10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16</v>
      </c>
      <c r="G17" s="62">
        <f>-58+15+45+40</f>
        <v>42</v>
      </c>
      <c r="H17" s="143">
        <f>2+14</f>
        <v>16</v>
      </c>
      <c r="I17" s="13">
        <f t="shared" si="0"/>
        <v>42</v>
      </c>
      <c r="J17" s="62"/>
      <c r="K17" s="143"/>
      <c r="L17" s="13">
        <f t="shared" si="1"/>
        <v>42</v>
      </c>
      <c r="M17" s="62">
        <f>-1+15+15+20</f>
        <v>49</v>
      </c>
      <c r="N17" s="143">
        <f>4+38</f>
        <v>42</v>
      </c>
      <c r="O17" s="13">
        <f t="shared" si="2"/>
        <v>49</v>
      </c>
      <c r="P17" s="62">
        <f>15+20</f>
        <v>35</v>
      </c>
      <c r="Q17" s="143">
        <f>6+40</f>
        <v>46</v>
      </c>
      <c r="R17" s="30">
        <f t="shared" si="3"/>
        <v>38</v>
      </c>
      <c r="S17" s="62"/>
      <c r="T17" s="143"/>
      <c r="U17" s="13">
        <f t="shared" si="4"/>
        <v>38</v>
      </c>
      <c r="V17" s="62">
        <f>15+10+20</f>
        <v>45</v>
      </c>
      <c r="W17" s="143">
        <f>4+34</f>
        <v>38</v>
      </c>
      <c r="X17" s="13">
        <f t="shared" si="5"/>
        <v>45</v>
      </c>
      <c r="Y17" s="62">
        <f>15+40</f>
        <v>55</v>
      </c>
      <c r="Z17" s="143">
        <f>25</f>
        <v>25</v>
      </c>
      <c r="AA17" s="13">
        <f t="shared" si="27"/>
        <v>75</v>
      </c>
      <c r="AB17" s="62">
        <f>15+20</f>
        <v>35</v>
      </c>
      <c r="AC17" s="143">
        <v>57</v>
      </c>
      <c r="AD17" s="13">
        <f t="shared" si="28"/>
        <v>53</v>
      </c>
      <c r="AE17" s="62"/>
      <c r="AF17" s="143"/>
      <c r="AG17" s="13">
        <f t="shared" si="29"/>
        <v>53</v>
      </c>
      <c r="AH17" s="62">
        <f>15+15+20</f>
        <v>50</v>
      </c>
      <c r="AI17" s="143">
        <f>3+30</f>
        <v>33</v>
      </c>
      <c r="AJ17" s="13">
        <f t="shared" si="30"/>
        <v>70</v>
      </c>
      <c r="AK17" s="61"/>
      <c r="AL17" s="143">
        <f>4+38</f>
        <v>42</v>
      </c>
      <c r="AM17" s="13">
        <f t="shared" si="6"/>
        <v>28</v>
      </c>
      <c r="AN17" s="62">
        <v>15</v>
      </c>
      <c r="AO17" s="143"/>
      <c r="AP17" s="13">
        <f t="shared" si="7"/>
        <v>43</v>
      </c>
      <c r="AQ17" s="62">
        <f>15+20</f>
        <v>35</v>
      </c>
      <c r="AR17" s="143">
        <f>4+26</f>
        <v>30</v>
      </c>
      <c r="AS17" s="13">
        <f t="shared" si="8"/>
        <v>48</v>
      </c>
      <c r="AT17" s="62">
        <f>15+40</f>
        <v>55</v>
      </c>
      <c r="AU17" s="143">
        <f>3+40</f>
        <v>43</v>
      </c>
      <c r="AV17" s="13">
        <f t="shared" si="9"/>
        <v>60</v>
      </c>
      <c r="AW17" s="62">
        <f>-4+15+15+20</f>
        <v>46</v>
      </c>
      <c r="AX17" s="143">
        <f>2+58</f>
        <v>60</v>
      </c>
      <c r="AY17" s="13">
        <f t="shared" si="10"/>
        <v>46</v>
      </c>
      <c r="AZ17" s="62"/>
      <c r="BA17" s="143"/>
      <c r="BB17" s="13">
        <f t="shared" si="11"/>
        <v>46</v>
      </c>
      <c r="BC17" s="62">
        <f>15+15</f>
        <v>30</v>
      </c>
      <c r="BD17" s="143">
        <f>3+15</f>
        <v>18</v>
      </c>
      <c r="BE17" s="13">
        <f t="shared" si="12"/>
        <v>58</v>
      </c>
      <c r="BF17" s="62">
        <v>15</v>
      </c>
      <c r="BG17" s="143">
        <f>6+25</f>
        <v>31</v>
      </c>
      <c r="BH17" s="13">
        <f t="shared" si="13"/>
        <v>42</v>
      </c>
      <c r="BI17" s="62"/>
      <c r="BJ17" s="143"/>
      <c r="BK17" s="13">
        <f t="shared" si="14"/>
        <v>42</v>
      </c>
      <c r="BL17" s="62">
        <f>15+15+20</f>
        <v>50</v>
      </c>
      <c r="BM17" s="143">
        <f>6+33</f>
        <v>39</v>
      </c>
      <c r="BN17" s="13">
        <f t="shared" si="15"/>
        <v>53</v>
      </c>
      <c r="BO17" s="62">
        <f>15+40+15</f>
        <v>70</v>
      </c>
      <c r="BP17" s="143">
        <f>3+35</f>
        <v>38</v>
      </c>
      <c r="BQ17" s="13">
        <f t="shared" si="16"/>
        <v>85</v>
      </c>
      <c r="BR17" s="62">
        <f>15+15+20</f>
        <v>50</v>
      </c>
      <c r="BS17" s="143">
        <f>8+65</f>
        <v>73</v>
      </c>
      <c r="BT17" s="13">
        <f t="shared" si="17"/>
        <v>62</v>
      </c>
      <c r="BU17" s="62"/>
      <c r="BV17" s="143"/>
      <c r="BW17" s="13">
        <f t="shared" si="18"/>
        <v>62</v>
      </c>
      <c r="BX17" s="62"/>
      <c r="BY17" s="143">
        <f>3+30+4</f>
        <v>37</v>
      </c>
      <c r="BZ17" s="13">
        <f t="shared" si="19"/>
        <v>25</v>
      </c>
      <c r="CA17" s="62">
        <f>-25+15+40+15</f>
        <v>45</v>
      </c>
      <c r="CB17" s="143">
        <f>6+19</f>
        <v>25</v>
      </c>
      <c r="CC17" s="13">
        <f t="shared" si="20"/>
        <v>45</v>
      </c>
      <c r="CD17" s="62"/>
      <c r="CE17" s="143"/>
      <c r="CF17" s="13">
        <f t="shared" si="21"/>
        <v>45</v>
      </c>
      <c r="CG17" s="62">
        <v>15</v>
      </c>
      <c r="CH17" s="143">
        <f>5+20</f>
        <v>25</v>
      </c>
      <c r="CI17" s="13">
        <f t="shared" si="31"/>
        <v>35</v>
      </c>
      <c r="CJ17" s="62">
        <f>-2+15</f>
        <v>13</v>
      </c>
      <c r="CK17" s="143">
        <v>35</v>
      </c>
      <c r="CL17" s="13">
        <f t="shared" si="32"/>
        <v>13</v>
      </c>
      <c r="CM17" s="62"/>
      <c r="CN17" s="143"/>
      <c r="CO17" s="13">
        <f t="shared" si="22"/>
        <v>13</v>
      </c>
      <c r="CP17" s="62"/>
      <c r="CQ17" s="143"/>
      <c r="CR17" s="13">
        <f t="shared" si="33"/>
        <v>13</v>
      </c>
      <c r="CS17" s="62"/>
      <c r="CT17" s="143"/>
      <c r="CU17" s="14">
        <f t="shared" si="23"/>
        <v>13</v>
      </c>
      <c r="CV17" s="5">
        <f t="shared" si="24"/>
        <v>750</v>
      </c>
      <c r="CW17" s="4">
        <f t="shared" si="24"/>
        <v>753</v>
      </c>
      <c r="CX17" s="6">
        <f t="shared" si="25"/>
        <v>13</v>
      </c>
      <c r="CY17" s="162">
        <v>200</v>
      </c>
      <c r="CZ17" s="171">
        <f t="shared" si="26"/>
        <v>2600</v>
      </c>
      <c r="DB17" s="2">
        <f t="shared" si="34"/>
        <v>13</v>
      </c>
      <c r="DC17" s="61"/>
      <c r="DD17" s="143"/>
      <c r="DE17" s="149">
        <f t="shared" si="35"/>
        <v>13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1.199999999999994</v>
      </c>
      <c r="G18" s="62">
        <v>6.5</v>
      </c>
      <c r="H18" s="143">
        <v>3.2</v>
      </c>
      <c r="I18" s="13">
        <f t="shared" si="0"/>
        <v>4.4999999999999938</v>
      </c>
      <c r="J18" s="62"/>
      <c r="K18" s="143"/>
      <c r="L18" s="13">
        <f t="shared" si="1"/>
        <v>4.4999999999999938</v>
      </c>
      <c r="M18" s="62"/>
      <c r="N18" s="143">
        <f>2</f>
        <v>2</v>
      </c>
      <c r="O18" s="13">
        <f t="shared" si="2"/>
        <v>2.4999999999999938</v>
      </c>
      <c r="P18" s="62">
        <v>8</v>
      </c>
      <c r="Q18" s="143">
        <f>2+4</f>
        <v>6</v>
      </c>
      <c r="R18" s="30">
        <f t="shared" si="3"/>
        <v>4.4999999999999929</v>
      </c>
      <c r="S18" s="62"/>
      <c r="T18" s="143"/>
      <c r="U18" s="13">
        <f t="shared" si="4"/>
        <v>4.4999999999999929</v>
      </c>
      <c r="V18" s="62"/>
      <c r="W18" s="143"/>
      <c r="X18" s="13">
        <f t="shared" si="5"/>
        <v>4.4999999999999929</v>
      </c>
      <c r="Y18" s="62"/>
      <c r="Z18" s="143"/>
      <c r="AA18" s="13">
        <f t="shared" si="27"/>
        <v>4.4999999999999929</v>
      </c>
      <c r="AB18" s="62"/>
      <c r="AC18" s="143"/>
      <c r="AD18" s="13">
        <f t="shared" si="28"/>
        <v>4.4999999999999929</v>
      </c>
      <c r="AE18" s="62"/>
      <c r="AF18" s="143"/>
      <c r="AG18" s="13">
        <f t="shared" si="29"/>
        <v>4.4999999999999929</v>
      </c>
      <c r="AH18" s="62">
        <v>4</v>
      </c>
      <c r="AI18" s="143">
        <f>5.8</f>
        <v>5.8</v>
      </c>
      <c r="AJ18" s="13">
        <f t="shared" si="30"/>
        <v>2.6999999999999931</v>
      </c>
      <c r="AK18" s="61"/>
      <c r="AL18" s="143"/>
      <c r="AM18" s="13">
        <f t="shared" si="6"/>
        <v>2.6999999999999931</v>
      </c>
      <c r="AN18" s="62"/>
      <c r="AO18" s="143"/>
      <c r="AP18" s="13">
        <f t="shared" si="7"/>
        <v>2.6999999999999931</v>
      </c>
      <c r="AQ18" s="62"/>
      <c r="AR18" s="143">
        <f>0.3</f>
        <v>0.3</v>
      </c>
      <c r="AS18" s="13">
        <f t="shared" si="8"/>
        <v>2.3999999999999932</v>
      </c>
      <c r="AT18" s="62"/>
      <c r="AU18" s="143"/>
      <c r="AV18" s="13">
        <f t="shared" si="9"/>
        <v>2.3999999999999932</v>
      </c>
      <c r="AW18" s="62"/>
      <c r="AX18" s="143"/>
      <c r="AY18" s="13">
        <f t="shared" si="10"/>
        <v>2.3999999999999932</v>
      </c>
      <c r="AZ18" s="62"/>
      <c r="BA18" s="143"/>
      <c r="BB18" s="13">
        <f t="shared" si="11"/>
        <v>2.3999999999999932</v>
      </c>
      <c r="BC18" s="62">
        <v>2</v>
      </c>
      <c r="BD18" s="143"/>
      <c r="BE18" s="13">
        <f t="shared" si="12"/>
        <v>4.3999999999999932</v>
      </c>
      <c r="BF18" s="62">
        <v>4</v>
      </c>
      <c r="BG18" s="143">
        <f>2.2+2.2</f>
        <v>4.4000000000000004</v>
      </c>
      <c r="BH18" s="13">
        <f t="shared" si="13"/>
        <v>3.9999999999999929</v>
      </c>
      <c r="BI18" s="62"/>
      <c r="BJ18" s="143"/>
      <c r="BK18" s="13">
        <f t="shared" si="14"/>
        <v>3.9999999999999929</v>
      </c>
      <c r="BL18" s="62"/>
      <c r="BM18" s="143"/>
      <c r="BN18" s="13">
        <f t="shared" si="15"/>
        <v>3.9999999999999929</v>
      </c>
      <c r="BO18" s="62">
        <v>1</v>
      </c>
      <c r="BP18" s="143"/>
      <c r="BQ18" s="13">
        <f t="shared" si="16"/>
        <v>4.9999999999999929</v>
      </c>
      <c r="BR18" s="62">
        <v>4</v>
      </c>
      <c r="BS18" s="143">
        <v>5.8</v>
      </c>
      <c r="BT18" s="13">
        <f t="shared" si="17"/>
        <v>3.1999999999999931</v>
      </c>
      <c r="BU18" s="62"/>
      <c r="BV18" s="143"/>
      <c r="BW18" s="13">
        <f t="shared" si="18"/>
        <v>3.1999999999999931</v>
      </c>
      <c r="BX18" s="62"/>
      <c r="BY18" s="143"/>
      <c r="BZ18" s="13">
        <f t="shared" si="19"/>
        <v>3.1999999999999931</v>
      </c>
      <c r="CA18" s="62"/>
      <c r="CB18" s="143"/>
      <c r="CC18" s="13">
        <f t="shared" si="20"/>
        <v>3.1999999999999931</v>
      </c>
      <c r="CD18" s="62"/>
      <c r="CE18" s="143"/>
      <c r="CF18" s="13">
        <f t="shared" si="21"/>
        <v>3.1999999999999931</v>
      </c>
      <c r="CG18" s="62"/>
      <c r="CH18" s="143"/>
      <c r="CI18" s="13">
        <f t="shared" si="31"/>
        <v>3.1999999999999931</v>
      </c>
      <c r="CJ18" s="62"/>
      <c r="CK18" s="143"/>
      <c r="CL18" s="13">
        <f t="shared" si="32"/>
        <v>3.1999999999999931</v>
      </c>
      <c r="CM18" s="62"/>
      <c r="CN18" s="143"/>
      <c r="CO18" s="13">
        <f t="shared" si="22"/>
        <v>3.1999999999999931</v>
      </c>
      <c r="CP18" s="62"/>
      <c r="CQ18" s="143"/>
      <c r="CR18" s="13">
        <f t="shared" si="33"/>
        <v>3.1999999999999931</v>
      </c>
      <c r="CS18" s="62"/>
      <c r="CT18" s="143"/>
      <c r="CU18" s="14">
        <f t="shared" si="23"/>
        <v>3.1999999999999931</v>
      </c>
      <c r="CV18" s="5">
        <f t="shared" si="24"/>
        <v>29.5</v>
      </c>
      <c r="CW18" s="4">
        <f t="shared" si="24"/>
        <v>27.500000000000004</v>
      </c>
      <c r="CX18" s="6">
        <f t="shared" si="25"/>
        <v>3.1999999999999931</v>
      </c>
      <c r="CY18" s="162">
        <v>450</v>
      </c>
      <c r="CZ18" s="171">
        <f t="shared" si="26"/>
        <v>1439.9999999999968</v>
      </c>
      <c r="DB18" s="2">
        <f t="shared" si="34"/>
        <v>3.1999999999999931</v>
      </c>
      <c r="DC18" s="61"/>
      <c r="DD18" s="143">
        <v>0.5</v>
      </c>
      <c r="DE18" s="149">
        <f t="shared" si="35"/>
        <v>2.6999999999999931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2.6999999999999975</v>
      </c>
      <c r="G19" s="62">
        <v>4</v>
      </c>
      <c r="H19" s="143">
        <v>2.5</v>
      </c>
      <c r="I19" s="13">
        <f t="shared" si="0"/>
        <v>4.1999999999999975</v>
      </c>
      <c r="J19" s="62"/>
      <c r="K19" s="143"/>
      <c r="L19" s="13">
        <f t="shared" si="1"/>
        <v>4.1999999999999975</v>
      </c>
      <c r="M19" s="62"/>
      <c r="N19" s="143">
        <f>0.2</f>
        <v>0.2</v>
      </c>
      <c r="O19" s="13">
        <f t="shared" si="2"/>
        <v>3.9999999999999973</v>
      </c>
      <c r="P19" s="62">
        <v>8</v>
      </c>
      <c r="Q19" s="143">
        <f>7</f>
        <v>7</v>
      </c>
      <c r="R19" s="30">
        <f t="shared" si="3"/>
        <v>4.9999999999999964</v>
      </c>
      <c r="S19" s="62"/>
      <c r="T19" s="143"/>
      <c r="U19" s="13">
        <f t="shared" si="4"/>
        <v>4.9999999999999964</v>
      </c>
      <c r="V19" s="62"/>
      <c r="W19" s="143"/>
      <c r="X19" s="30">
        <f t="shared" si="5"/>
        <v>4.9999999999999964</v>
      </c>
      <c r="Y19" s="62"/>
      <c r="Z19" s="143"/>
      <c r="AA19" s="13">
        <f t="shared" si="27"/>
        <v>4.9999999999999964</v>
      </c>
      <c r="AB19" s="62"/>
      <c r="AC19" s="143"/>
      <c r="AD19" s="13">
        <f t="shared" si="28"/>
        <v>4.9999999999999964</v>
      </c>
      <c r="AE19" s="62"/>
      <c r="AF19" s="143"/>
      <c r="AG19" s="13">
        <f t="shared" si="29"/>
        <v>4.9999999999999964</v>
      </c>
      <c r="AH19" s="62">
        <v>4</v>
      </c>
      <c r="AI19" s="143">
        <v>4.3</v>
      </c>
      <c r="AJ19" s="13">
        <f t="shared" si="30"/>
        <v>4.6999999999999966</v>
      </c>
      <c r="AK19" s="61"/>
      <c r="AL19" s="143"/>
      <c r="AM19" s="13">
        <f t="shared" si="6"/>
        <v>4.6999999999999966</v>
      </c>
      <c r="AN19" s="62"/>
      <c r="AO19" s="143"/>
      <c r="AP19" s="13">
        <f t="shared" si="7"/>
        <v>4.6999999999999966</v>
      </c>
      <c r="AQ19" s="62"/>
      <c r="AR19" s="143"/>
      <c r="AS19" s="13">
        <f t="shared" si="8"/>
        <v>4.6999999999999966</v>
      </c>
      <c r="AT19" s="62"/>
      <c r="AU19" s="143"/>
      <c r="AV19" s="13">
        <f t="shared" si="9"/>
        <v>4.6999999999999966</v>
      </c>
      <c r="AW19" s="62"/>
      <c r="AX19" s="143"/>
      <c r="AY19" s="13">
        <f t="shared" si="10"/>
        <v>4.6999999999999966</v>
      </c>
      <c r="AZ19" s="62"/>
      <c r="BA19" s="143"/>
      <c r="BB19" s="13">
        <f t="shared" si="11"/>
        <v>4.6999999999999966</v>
      </c>
      <c r="BC19" s="62">
        <v>2</v>
      </c>
      <c r="BD19" s="143"/>
      <c r="BE19" s="13">
        <f t="shared" si="12"/>
        <v>6.6999999999999966</v>
      </c>
      <c r="BF19" s="62"/>
      <c r="BG19" s="143">
        <f>1</f>
        <v>1</v>
      </c>
      <c r="BH19" s="13">
        <f t="shared" si="13"/>
        <v>5.6999999999999966</v>
      </c>
      <c r="BI19" s="62"/>
      <c r="BJ19" s="143"/>
      <c r="BK19" s="13">
        <f t="shared" si="14"/>
        <v>5.6999999999999966</v>
      </c>
      <c r="BL19" s="62"/>
      <c r="BM19" s="143"/>
      <c r="BN19" s="13">
        <f t="shared" si="15"/>
        <v>5.6999999999999966</v>
      </c>
      <c r="BO19" s="62"/>
      <c r="BP19" s="143"/>
      <c r="BQ19" s="13">
        <f t="shared" si="16"/>
        <v>5.6999999999999966</v>
      </c>
      <c r="BR19" s="62"/>
      <c r="BS19" s="143"/>
      <c r="BT19" s="13">
        <f t="shared" si="17"/>
        <v>5.6999999999999966</v>
      </c>
      <c r="BU19" s="62"/>
      <c r="BV19" s="143"/>
      <c r="BW19" s="13">
        <f t="shared" si="18"/>
        <v>5.6999999999999966</v>
      </c>
      <c r="BX19" s="62"/>
      <c r="BY19" s="143"/>
      <c r="BZ19" s="13">
        <f t="shared" si="19"/>
        <v>5.6999999999999966</v>
      </c>
      <c r="CA19" s="62">
        <v>4</v>
      </c>
      <c r="CB19" s="143">
        <f>0.2+4.5</f>
        <v>4.7</v>
      </c>
      <c r="CC19" s="13">
        <f t="shared" si="20"/>
        <v>4.9999999999999956</v>
      </c>
      <c r="CD19" s="62"/>
      <c r="CE19" s="143"/>
      <c r="CF19" s="13">
        <f t="shared" si="21"/>
        <v>4.9999999999999956</v>
      </c>
      <c r="CG19" s="62"/>
      <c r="CH19" s="143"/>
      <c r="CI19" s="13">
        <f t="shared" si="31"/>
        <v>4.9999999999999956</v>
      </c>
      <c r="CJ19" s="62"/>
      <c r="CK19" s="143"/>
      <c r="CL19" s="13">
        <f t="shared" si="32"/>
        <v>4.9999999999999956</v>
      </c>
      <c r="CM19" s="62"/>
      <c r="CN19" s="143"/>
      <c r="CO19" s="13">
        <f t="shared" si="22"/>
        <v>4.9999999999999956</v>
      </c>
      <c r="CP19" s="62"/>
      <c r="CQ19" s="143"/>
      <c r="CR19" s="13">
        <f t="shared" si="33"/>
        <v>4.9999999999999956</v>
      </c>
      <c r="CS19" s="62"/>
      <c r="CT19" s="143"/>
      <c r="CU19" s="14">
        <f t="shared" si="23"/>
        <v>4.9999999999999956</v>
      </c>
      <c r="CV19" s="5">
        <f t="shared" si="24"/>
        <v>22</v>
      </c>
      <c r="CW19" s="4">
        <f t="shared" si="24"/>
        <v>19.7</v>
      </c>
      <c r="CX19" s="6">
        <f t="shared" si="25"/>
        <v>4.9999999999999956</v>
      </c>
      <c r="CY19" s="162">
        <v>450</v>
      </c>
      <c r="CZ19" s="171">
        <f t="shared" si="26"/>
        <v>2249.9999999999982</v>
      </c>
      <c r="DB19" s="2">
        <f t="shared" si="34"/>
        <v>4.9999999999999956</v>
      </c>
      <c r="DC19" s="61"/>
      <c r="DD19" s="143">
        <v>0.7</v>
      </c>
      <c r="DE19" s="149">
        <f t="shared" si="35"/>
        <v>4.2999999999999954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2"/>
      <c r="N20" s="143"/>
      <c r="O20" s="13">
        <f t="shared" si="2"/>
        <v>0</v>
      </c>
      <c r="P20" s="62"/>
      <c r="Q20" s="143"/>
      <c r="R20" s="30">
        <f t="shared" si="3"/>
        <v>0</v>
      </c>
      <c r="S20" s="62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1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62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2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>
        <v>2</v>
      </c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2"/>
      <c r="N21" s="143"/>
      <c r="O21" s="13">
        <f t="shared" si="2"/>
        <v>0</v>
      </c>
      <c r="P21" s="62"/>
      <c r="Q21" s="143"/>
      <c r="R21" s="30">
        <f t="shared" si="3"/>
        <v>0</v>
      </c>
      <c r="S21" s="62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1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>
        <f>-1+1</f>
        <v>0</v>
      </c>
      <c r="BG21" s="143"/>
      <c r="BH21" s="13">
        <f t="shared" si="13"/>
        <v>0</v>
      </c>
      <c r="BI21" s="62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>
        <f>-6+12</f>
        <v>6</v>
      </c>
      <c r="CB21" s="143"/>
      <c r="CC21" s="13">
        <f t="shared" si="20"/>
        <v>6</v>
      </c>
      <c r="CD21" s="62"/>
      <c r="CE21" s="143"/>
      <c r="CF21" s="13">
        <f t="shared" si="21"/>
        <v>6</v>
      </c>
      <c r="CG21" s="62">
        <f>-3+6</f>
        <v>3</v>
      </c>
      <c r="CH21" s="143">
        <f>3+3</f>
        <v>6</v>
      </c>
      <c r="CI21" s="13">
        <f t="shared" si="31"/>
        <v>3</v>
      </c>
      <c r="CJ21" s="62">
        <f>-13+13</f>
        <v>0</v>
      </c>
      <c r="CK21" s="143">
        <v>3</v>
      </c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2"/>
      <c r="CT21" s="143"/>
      <c r="CU21" s="14">
        <f t="shared" si="23"/>
        <v>0</v>
      </c>
      <c r="CV21" s="5">
        <f t="shared" si="24"/>
        <v>9</v>
      </c>
      <c r="CW21" s="4">
        <f t="shared" si="24"/>
        <v>9</v>
      </c>
      <c r="CX21" s="6">
        <f t="shared" si="25"/>
        <v>0</v>
      </c>
      <c r="CY21" s="162">
        <v>180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0.20000000000000062</v>
      </c>
      <c r="G22" s="62">
        <v>10</v>
      </c>
      <c r="H22" s="143"/>
      <c r="I22" s="13">
        <f t="shared" si="0"/>
        <v>10.200000000000001</v>
      </c>
      <c r="J22" s="62"/>
      <c r="K22" s="143"/>
      <c r="L22" s="13">
        <f t="shared" si="1"/>
        <v>10.200000000000001</v>
      </c>
      <c r="M22" s="62">
        <v>10</v>
      </c>
      <c r="N22" s="143">
        <v>11.3</v>
      </c>
      <c r="O22" s="13">
        <f t="shared" si="2"/>
        <v>8.9000000000000021</v>
      </c>
      <c r="P22" s="62">
        <v>20</v>
      </c>
      <c r="Q22" s="143">
        <f>1.4+1.7+1.5+4.3+8.3</f>
        <v>17.2</v>
      </c>
      <c r="R22" s="30">
        <f t="shared" si="3"/>
        <v>11.700000000000003</v>
      </c>
      <c r="S22" s="62"/>
      <c r="T22" s="143"/>
      <c r="U22" s="13">
        <f t="shared" si="4"/>
        <v>11.700000000000003</v>
      </c>
      <c r="V22" s="62">
        <v>10</v>
      </c>
      <c r="W22" s="143">
        <f>2.7+0.3+2.5</f>
        <v>5.5</v>
      </c>
      <c r="X22" s="13">
        <f t="shared" si="5"/>
        <v>16.200000000000003</v>
      </c>
      <c r="Y22" s="62"/>
      <c r="Z22" s="143">
        <v>5.5</v>
      </c>
      <c r="AA22" s="13">
        <f t="shared" si="27"/>
        <v>10.700000000000003</v>
      </c>
      <c r="AB22" s="62">
        <v>10</v>
      </c>
      <c r="AC22" s="143">
        <f>5.4</f>
        <v>5.4</v>
      </c>
      <c r="AD22" s="13">
        <f t="shared" si="28"/>
        <v>15.300000000000002</v>
      </c>
      <c r="AE22" s="62"/>
      <c r="AF22" s="143"/>
      <c r="AG22" s="13">
        <f t="shared" si="29"/>
        <v>15.300000000000002</v>
      </c>
      <c r="AH22" s="62">
        <v>10</v>
      </c>
      <c r="AI22" s="143"/>
      <c r="AJ22" s="13">
        <f t="shared" si="30"/>
        <v>25.300000000000004</v>
      </c>
      <c r="AK22" s="61"/>
      <c r="AL22" s="143">
        <f>10+0.9+3.1</f>
        <v>14</v>
      </c>
      <c r="AM22" s="13">
        <f t="shared" si="6"/>
        <v>11.300000000000004</v>
      </c>
      <c r="AN22" s="62"/>
      <c r="AO22" s="143"/>
      <c r="AP22" s="13">
        <f t="shared" si="7"/>
        <v>11.300000000000004</v>
      </c>
      <c r="AQ22" s="62"/>
      <c r="AR22" s="143">
        <f>1.2+1</f>
        <v>2.2000000000000002</v>
      </c>
      <c r="AS22" s="13">
        <f t="shared" si="8"/>
        <v>9.100000000000005</v>
      </c>
      <c r="AT22" s="62"/>
      <c r="AU22" s="143">
        <f>1.8</f>
        <v>1.8</v>
      </c>
      <c r="AV22" s="13">
        <f t="shared" si="9"/>
        <v>7.3000000000000052</v>
      </c>
      <c r="AW22" s="62">
        <v>10</v>
      </c>
      <c r="AX22" s="143">
        <f>1.4</f>
        <v>1.4</v>
      </c>
      <c r="AY22" s="13">
        <f t="shared" si="10"/>
        <v>15.900000000000004</v>
      </c>
      <c r="AZ22" s="62"/>
      <c r="BA22" s="143"/>
      <c r="BB22" s="13">
        <f t="shared" si="11"/>
        <v>15.900000000000004</v>
      </c>
      <c r="BC22" s="62"/>
      <c r="BD22" s="143">
        <f>2+1.3</f>
        <v>3.3</v>
      </c>
      <c r="BE22" s="13">
        <f t="shared" si="12"/>
        <v>12.600000000000005</v>
      </c>
      <c r="BF22" s="62">
        <v>20</v>
      </c>
      <c r="BG22" s="143">
        <f>1.4+1.7+5+8.4</f>
        <v>16.5</v>
      </c>
      <c r="BH22" s="13">
        <f t="shared" si="13"/>
        <v>16.100000000000009</v>
      </c>
      <c r="BI22" s="62"/>
      <c r="BJ22" s="143"/>
      <c r="BK22" s="13">
        <f t="shared" si="14"/>
        <v>16.100000000000009</v>
      </c>
      <c r="BL22" s="62"/>
      <c r="BM22" s="143">
        <f>2.7+0.8+1.3</f>
        <v>4.8</v>
      </c>
      <c r="BN22" s="13">
        <f t="shared" si="15"/>
        <v>11.300000000000008</v>
      </c>
      <c r="BO22" s="62"/>
      <c r="BP22" s="143"/>
      <c r="BQ22" s="13">
        <f t="shared" si="16"/>
        <v>11.300000000000008</v>
      </c>
      <c r="BR22" s="62">
        <v>10</v>
      </c>
      <c r="BS22" s="143">
        <f>2.4+10+1.8</f>
        <v>14.200000000000001</v>
      </c>
      <c r="BT22" s="13">
        <f t="shared" si="17"/>
        <v>7.1000000000000068</v>
      </c>
      <c r="BU22" s="62"/>
      <c r="BV22" s="143"/>
      <c r="BW22" s="13">
        <f t="shared" si="18"/>
        <v>7.1000000000000068</v>
      </c>
      <c r="BX22" s="62"/>
      <c r="BY22" s="143"/>
      <c r="BZ22" s="13">
        <f t="shared" si="19"/>
        <v>7.1000000000000068</v>
      </c>
      <c r="CA22" s="62">
        <v>10</v>
      </c>
      <c r="CB22" s="143">
        <f>0.9+4</f>
        <v>4.9000000000000004</v>
      </c>
      <c r="CC22" s="13">
        <f t="shared" si="20"/>
        <v>12.200000000000008</v>
      </c>
      <c r="CD22" s="62"/>
      <c r="CE22" s="143"/>
      <c r="CF22" s="13">
        <f t="shared" si="21"/>
        <v>12.200000000000008</v>
      </c>
      <c r="CG22" s="62"/>
      <c r="CH22" s="143">
        <f>0.9+0.8+0.5</f>
        <v>2.2000000000000002</v>
      </c>
      <c r="CI22" s="13">
        <f t="shared" si="31"/>
        <v>10.000000000000007</v>
      </c>
      <c r="CJ22" s="62"/>
      <c r="CK22" s="143"/>
      <c r="CL22" s="13">
        <f t="shared" si="32"/>
        <v>10.000000000000007</v>
      </c>
      <c r="CM22" s="62"/>
      <c r="CN22" s="143"/>
      <c r="CO22" s="13">
        <f t="shared" si="22"/>
        <v>10.000000000000007</v>
      </c>
      <c r="CP22" s="62"/>
      <c r="CQ22" s="143"/>
      <c r="CR22" s="13">
        <f t="shared" si="33"/>
        <v>10.000000000000007</v>
      </c>
      <c r="CS22" s="62"/>
      <c r="CT22" s="143"/>
      <c r="CU22" s="14">
        <f t="shared" si="23"/>
        <v>10.000000000000007</v>
      </c>
      <c r="CV22" s="5">
        <f t="shared" si="24"/>
        <v>120</v>
      </c>
      <c r="CW22" s="4">
        <f t="shared" si="24"/>
        <v>110.2</v>
      </c>
      <c r="CX22" s="6">
        <f t="shared" si="25"/>
        <v>10.000000000000007</v>
      </c>
      <c r="CY22" s="162">
        <v>240</v>
      </c>
      <c r="CZ22" s="171">
        <f t="shared" si="26"/>
        <v>2400.0000000000018</v>
      </c>
      <c r="DB22" s="2">
        <f t="shared" si="34"/>
        <v>10.000000000000007</v>
      </c>
      <c r="DC22" s="62"/>
      <c r="DD22" s="143"/>
      <c r="DE22" s="149">
        <f t="shared" si="35"/>
        <v>10.000000000000007</v>
      </c>
    </row>
    <row r="23" spans="1:109" ht="15.75" customHeight="1">
      <c r="A23" s="33"/>
      <c r="B23" s="7" t="s">
        <v>56</v>
      </c>
      <c r="C23" s="105" t="s">
        <v>32</v>
      </c>
      <c r="D23" s="35" t="s">
        <v>57</v>
      </c>
      <c r="E23" s="35" t="s">
        <v>58</v>
      </c>
      <c r="F23" s="14">
        <v>16</v>
      </c>
      <c r="G23" s="62">
        <v>30</v>
      </c>
      <c r="H23" s="143">
        <f>5+1</f>
        <v>6</v>
      </c>
      <c r="I23" s="13">
        <f t="shared" si="0"/>
        <v>40</v>
      </c>
      <c r="J23" s="62"/>
      <c r="K23" s="143"/>
      <c r="L23" s="13">
        <f t="shared" si="1"/>
        <v>40</v>
      </c>
      <c r="M23" s="62"/>
      <c r="N23" s="143">
        <v>3</v>
      </c>
      <c r="O23" s="13">
        <f t="shared" si="2"/>
        <v>37</v>
      </c>
      <c r="P23" s="62"/>
      <c r="Q23" s="143">
        <v>11</v>
      </c>
      <c r="R23" s="13">
        <f t="shared" si="3"/>
        <v>26</v>
      </c>
      <c r="S23" s="62"/>
      <c r="T23" s="143"/>
      <c r="U23" s="13">
        <f t="shared" si="4"/>
        <v>26</v>
      </c>
      <c r="V23" s="62">
        <v>30</v>
      </c>
      <c r="W23" s="143">
        <v>10</v>
      </c>
      <c r="X23" s="13">
        <f t="shared" si="5"/>
        <v>46</v>
      </c>
      <c r="Y23" s="62"/>
      <c r="Z23" s="143">
        <v>8</v>
      </c>
      <c r="AA23" s="13">
        <f t="shared" si="27"/>
        <v>38</v>
      </c>
      <c r="AB23" s="62"/>
      <c r="AC23" s="143">
        <v>6</v>
      </c>
      <c r="AD23" s="13">
        <f t="shared" si="28"/>
        <v>32</v>
      </c>
      <c r="AE23" s="62"/>
      <c r="AF23" s="143"/>
      <c r="AG23" s="13">
        <f t="shared" si="29"/>
        <v>32</v>
      </c>
      <c r="AH23" s="62"/>
      <c r="AI23" s="143">
        <v>7</v>
      </c>
      <c r="AJ23" s="13">
        <f t="shared" si="30"/>
        <v>25</v>
      </c>
      <c r="AK23" s="61"/>
      <c r="AL23" s="143">
        <f>16+1</f>
        <v>17</v>
      </c>
      <c r="AM23" s="13">
        <f t="shared" si="6"/>
        <v>8</v>
      </c>
      <c r="AN23" s="62"/>
      <c r="AO23" s="143"/>
      <c r="AP23" s="13">
        <f t="shared" si="7"/>
        <v>8</v>
      </c>
      <c r="AQ23" s="62">
        <f>-2+30</f>
        <v>28</v>
      </c>
      <c r="AR23" s="143">
        <f>8+1</f>
        <v>9</v>
      </c>
      <c r="AS23" s="13">
        <f t="shared" si="8"/>
        <v>27</v>
      </c>
      <c r="AT23" s="62"/>
      <c r="AU23" s="143">
        <v>4</v>
      </c>
      <c r="AV23" s="13">
        <f t="shared" si="9"/>
        <v>23</v>
      </c>
      <c r="AW23" s="62">
        <v>30</v>
      </c>
      <c r="AX23" s="143">
        <v>7</v>
      </c>
      <c r="AY23" s="13">
        <f t="shared" si="10"/>
        <v>46</v>
      </c>
      <c r="AZ23" s="62"/>
      <c r="BA23" s="143"/>
      <c r="BB23" s="13">
        <f t="shared" si="11"/>
        <v>46</v>
      </c>
      <c r="BC23" s="62"/>
      <c r="BD23" s="143">
        <v>13</v>
      </c>
      <c r="BE23" s="13">
        <f t="shared" si="12"/>
        <v>33</v>
      </c>
      <c r="BF23" s="62">
        <v>30</v>
      </c>
      <c r="BG23" s="143">
        <v>10</v>
      </c>
      <c r="BH23" s="13">
        <f t="shared" si="13"/>
        <v>53</v>
      </c>
      <c r="BI23" s="62"/>
      <c r="BJ23" s="143"/>
      <c r="BK23" s="13">
        <f t="shared" si="14"/>
        <v>53</v>
      </c>
      <c r="BL23" s="62"/>
      <c r="BM23" s="143">
        <v>12</v>
      </c>
      <c r="BN23" s="13">
        <f t="shared" si="15"/>
        <v>41</v>
      </c>
      <c r="BO23" s="62"/>
      <c r="BP23" s="143">
        <v>8</v>
      </c>
      <c r="BQ23" s="13">
        <f t="shared" si="16"/>
        <v>33</v>
      </c>
      <c r="BR23" s="62"/>
      <c r="BS23" s="143">
        <v>6</v>
      </c>
      <c r="BT23" s="13">
        <f t="shared" si="17"/>
        <v>27</v>
      </c>
      <c r="BU23" s="62"/>
      <c r="BV23" s="143"/>
      <c r="BW23" s="13">
        <f t="shared" si="18"/>
        <v>27</v>
      </c>
      <c r="BX23" s="62"/>
      <c r="BY23" s="143">
        <v>11</v>
      </c>
      <c r="BZ23" s="13">
        <f t="shared" si="19"/>
        <v>16</v>
      </c>
      <c r="CA23" s="62">
        <v>30</v>
      </c>
      <c r="CB23" s="143">
        <v>10</v>
      </c>
      <c r="CC23" s="13">
        <f t="shared" si="20"/>
        <v>36</v>
      </c>
      <c r="CD23" s="62"/>
      <c r="CE23" s="143"/>
      <c r="CF23" s="13">
        <f t="shared" si="21"/>
        <v>36</v>
      </c>
      <c r="CG23" s="62"/>
      <c r="CH23" s="143">
        <v>13</v>
      </c>
      <c r="CI23" s="13">
        <f t="shared" si="31"/>
        <v>23</v>
      </c>
      <c r="CJ23" s="62"/>
      <c r="CK23" s="143">
        <v>4</v>
      </c>
      <c r="CL23" s="13">
        <f t="shared" si="32"/>
        <v>19</v>
      </c>
      <c r="CM23" s="62"/>
      <c r="CN23" s="143"/>
      <c r="CO23" s="13">
        <f t="shared" si="22"/>
        <v>19</v>
      </c>
      <c r="CP23" s="62"/>
      <c r="CQ23" s="143"/>
      <c r="CR23" s="13">
        <f t="shared" si="33"/>
        <v>19</v>
      </c>
      <c r="CS23" s="62"/>
      <c r="CT23" s="143"/>
      <c r="CU23" s="14">
        <f t="shared" si="23"/>
        <v>19</v>
      </c>
      <c r="CV23" s="5">
        <f t="shared" si="24"/>
        <v>178</v>
      </c>
      <c r="CW23" s="4">
        <f t="shared" si="24"/>
        <v>175</v>
      </c>
      <c r="CX23" s="6">
        <f t="shared" si="25"/>
        <v>19</v>
      </c>
      <c r="CY23" s="162">
        <v>235</v>
      </c>
      <c r="CZ23" s="171">
        <f t="shared" si="26"/>
        <v>4465</v>
      </c>
      <c r="DB23" s="2">
        <f t="shared" si="34"/>
        <v>19</v>
      </c>
      <c r="DC23" s="61"/>
      <c r="DD23" s="143"/>
      <c r="DE23" s="149">
        <f t="shared" si="35"/>
        <v>19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2</v>
      </c>
      <c r="G24" s="62"/>
      <c r="H24" s="143"/>
      <c r="I24" s="13">
        <f t="shared" si="0"/>
        <v>2</v>
      </c>
      <c r="J24" s="62"/>
      <c r="K24" s="143"/>
      <c r="L24" s="13">
        <f t="shared" si="1"/>
        <v>2</v>
      </c>
      <c r="M24" s="62">
        <v>12</v>
      </c>
      <c r="N24" s="143">
        <f>5+4</f>
        <v>9</v>
      </c>
      <c r="O24" s="13">
        <f t="shared" si="2"/>
        <v>5</v>
      </c>
      <c r="P24" s="62"/>
      <c r="Q24" s="143"/>
      <c r="R24" s="30">
        <f t="shared" si="3"/>
        <v>5</v>
      </c>
      <c r="S24" s="62"/>
      <c r="T24" s="143"/>
      <c r="U24" s="13">
        <f t="shared" si="4"/>
        <v>5</v>
      </c>
      <c r="V24" s="62"/>
      <c r="W24" s="143"/>
      <c r="X24" s="13">
        <f t="shared" si="5"/>
        <v>5</v>
      </c>
      <c r="Y24" s="62"/>
      <c r="Z24" s="143"/>
      <c r="AA24" s="13">
        <f t="shared" si="27"/>
        <v>5</v>
      </c>
      <c r="AB24" s="62">
        <v>2</v>
      </c>
      <c r="AC24" s="143"/>
      <c r="AD24" s="13">
        <f t="shared" si="28"/>
        <v>7</v>
      </c>
      <c r="AE24" s="62"/>
      <c r="AF24" s="143"/>
      <c r="AG24" s="13">
        <f t="shared" si="29"/>
        <v>7</v>
      </c>
      <c r="AH24" s="62"/>
      <c r="AI24" s="143"/>
      <c r="AJ24" s="13">
        <f t="shared" si="30"/>
        <v>7</v>
      </c>
      <c r="AK24" s="61"/>
      <c r="AL24" s="143">
        <v>7</v>
      </c>
      <c r="AM24" s="13">
        <f t="shared" si="6"/>
        <v>0</v>
      </c>
      <c r="AN24" s="62"/>
      <c r="AO24" s="143"/>
      <c r="AP24" s="13">
        <f t="shared" si="7"/>
        <v>0</v>
      </c>
      <c r="AQ24" s="62"/>
      <c r="AR24" s="143"/>
      <c r="AS24" s="13">
        <f t="shared" si="8"/>
        <v>0</v>
      </c>
      <c r="AT24" s="62"/>
      <c r="AU24" s="143"/>
      <c r="AV24" s="13">
        <f t="shared" si="9"/>
        <v>0</v>
      </c>
      <c r="AW24" s="62">
        <v>9</v>
      </c>
      <c r="AX24" s="143">
        <f>3</f>
        <v>3</v>
      </c>
      <c r="AY24" s="13">
        <f t="shared" si="10"/>
        <v>6</v>
      </c>
      <c r="AZ24" s="62"/>
      <c r="BA24" s="143"/>
      <c r="BB24" s="13">
        <f t="shared" si="11"/>
        <v>6</v>
      </c>
      <c r="BC24" s="62"/>
      <c r="BD24" s="143"/>
      <c r="BE24" s="13">
        <f t="shared" si="12"/>
        <v>6</v>
      </c>
      <c r="BF24" s="62"/>
      <c r="BG24" s="143"/>
      <c r="BH24" s="13">
        <f t="shared" si="13"/>
        <v>6</v>
      </c>
      <c r="BI24" s="62"/>
      <c r="BJ24" s="143"/>
      <c r="BK24" s="13">
        <f t="shared" si="14"/>
        <v>6</v>
      </c>
      <c r="BL24" s="62"/>
      <c r="BM24" s="143"/>
      <c r="BN24" s="13">
        <f t="shared" si="15"/>
        <v>6</v>
      </c>
      <c r="BO24" s="62"/>
      <c r="BP24" s="143"/>
      <c r="BQ24" s="13">
        <f t="shared" si="16"/>
        <v>6</v>
      </c>
      <c r="BR24" s="62"/>
      <c r="BS24" s="143"/>
      <c r="BT24" s="13">
        <f t="shared" si="17"/>
        <v>6</v>
      </c>
      <c r="BU24" s="62"/>
      <c r="BV24" s="143"/>
      <c r="BW24" s="13">
        <f t="shared" si="18"/>
        <v>6</v>
      </c>
      <c r="BX24" s="62"/>
      <c r="BY24" s="143"/>
      <c r="BZ24" s="13">
        <f t="shared" si="19"/>
        <v>6</v>
      </c>
      <c r="CA24" s="62"/>
      <c r="CB24" s="143">
        <f>2+2</f>
        <v>4</v>
      </c>
      <c r="CC24" s="13">
        <f t="shared" si="20"/>
        <v>2</v>
      </c>
      <c r="CD24" s="62"/>
      <c r="CE24" s="143"/>
      <c r="CF24" s="13">
        <f t="shared" si="21"/>
        <v>2</v>
      </c>
      <c r="CG24" s="62"/>
      <c r="CH24" s="143"/>
      <c r="CI24" s="13">
        <f t="shared" si="31"/>
        <v>2</v>
      </c>
      <c r="CJ24" s="62"/>
      <c r="CK24" s="143"/>
      <c r="CL24" s="13">
        <f t="shared" si="32"/>
        <v>2</v>
      </c>
      <c r="CM24" s="62"/>
      <c r="CN24" s="143"/>
      <c r="CO24" s="13">
        <f t="shared" si="22"/>
        <v>2</v>
      </c>
      <c r="CP24" s="62"/>
      <c r="CQ24" s="143"/>
      <c r="CR24" s="13">
        <f t="shared" si="33"/>
        <v>2</v>
      </c>
      <c r="CS24" s="62"/>
      <c r="CT24" s="143"/>
      <c r="CU24" s="14">
        <f t="shared" si="23"/>
        <v>2</v>
      </c>
      <c r="CV24" s="5">
        <f t="shared" si="24"/>
        <v>23</v>
      </c>
      <c r="CW24" s="4">
        <f t="shared" si="24"/>
        <v>23</v>
      </c>
      <c r="CX24" s="6">
        <f t="shared" si="25"/>
        <v>2</v>
      </c>
      <c r="CY24" s="162">
        <v>111</v>
      </c>
      <c r="CZ24" s="171">
        <f t="shared" si="26"/>
        <v>222</v>
      </c>
      <c r="DB24" s="2">
        <f t="shared" si="34"/>
        <v>2</v>
      </c>
      <c r="DC24" s="61"/>
      <c r="DD24" s="143"/>
      <c r="DE24" s="149">
        <f t="shared" si="35"/>
        <v>2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4.5</v>
      </c>
      <c r="G25" s="62">
        <f>-2+10+0.5</f>
        <v>8.5</v>
      </c>
      <c r="H25" s="143">
        <f>1+3+0.5+1+1+1+1+1+2</f>
        <v>11.5</v>
      </c>
      <c r="I25" s="13">
        <f t="shared" si="0"/>
        <v>1.5</v>
      </c>
      <c r="J25" s="62"/>
      <c r="K25" s="143"/>
      <c r="L25" s="13">
        <f t="shared" si="1"/>
        <v>1.5</v>
      </c>
      <c r="M25" s="62">
        <v>10</v>
      </c>
      <c r="N25" s="143">
        <f>1+0.5+2+1</f>
        <v>4.5</v>
      </c>
      <c r="O25" s="13">
        <f t="shared" si="2"/>
        <v>7</v>
      </c>
      <c r="P25" s="62">
        <v>10</v>
      </c>
      <c r="Q25" s="143">
        <f>2+1.5+1+2+1+1+1+2</f>
        <v>11.5</v>
      </c>
      <c r="R25" s="30">
        <f t="shared" si="3"/>
        <v>5.5</v>
      </c>
      <c r="S25" s="62"/>
      <c r="T25" s="143"/>
      <c r="U25" s="13">
        <f t="shared" si="4"/>
        <v>5.5</v>
      </c>
      <c r="V25" s="62">
        <v>10</v>
      </c>
      <c r="W25" s="143"/>
      <c r="X25" s="13">
        <f t="shared" si="5"/>
        <v>15.5</v>
      </c>
      <c r="Y25" s="62"/>
      <c r="Z25" s="143">
        <f>1+4</f>
        <v>5</v>
      </c>
      <c r="AA25" s="13">
        <f t="shared" si="27"/>
        <v>10.5</v>
      </c>
      <c r="AB25" s="62"/>
      <c r="AC25" s="143">
        <f>1+1</f>
        <v>2</v>
      </c>
      <c r="AD25" s="13">
        <f t="shared" si="28"/>
        <v>8.5</v>
      </c>
      <c r="AE25" s="62"/>
      <c r="AF25" s="143"/>
      <c r="AG25" s="13">
        <f t="shared" si="29"/>
        <v>8.5</v>
      </c>
      <c r="AH25" s="62">
        <v>10</v>
      </c>
      <c r="AI25" s="143">
        <f>1+1.5+1.5+2</f>
        <v>6</v>
      </c>
      <c r="AJ25" s="13">
        <f t="shared" si="30"/>
        <v>12.5</v>
      </c>
      <c r="AK25" s="61"/>
      <c r="AL25" s="143">
        <f>1+3.5+2+2+1</f>
        <v>9.5</v>
      </c>
      <c r="AM25" s="13">
        <f t="shared" si="6"/>
        <v>3</v>
      </c>
      <c r="AN25" s="62"/>
      <c r="AO25" s="143"/>
      <c r="AP25" s="13">
        <f t="shared" si="7"/>
        <v>3</v>
      </c>
      <c r="AQ25" s="62">
        <v>10</v>
      </c>
      <c r="AR25" s="143">
        <f>0.5+0.5+0.5+2.5</f>
        <v>4</v>
      </c>
      <c r="AS25" s="13">
        <f t="shared" si="8"/>
        <v>9</v>
      </c>
      <c r="AT25" s="62"/>
      <c r="AU25" s="143">
        <f>3</f>
        <v>3</v>
      </c>
      <c r="AV25" s="13">
        <f t="shared" si="9"/>
        <v>6</v>
      </c>
      <c r="AW25" s="62">
        <v>10</v>
      </c>
      <c r="AX25" s="143">
        <f>1+4+1+1.5+2</f>
        <v>9.5</v>
      </c>
      <c r="AY25" s="13">
        <f t="shared" si="10"/>
        <v>6.5</v>
      </c>
      <c r="AZ25" s="62"/>
      <c r="BA25" s="143"/>
      <c r="BB25" s="13">
        <f t="shared" si="11"/>
        <v>6.5</v>
      </c>
      <c r="BC25" s="62">
        <v>10</v>
      </c>
      <c r="BD25" s="143">
        <f>3+1.5</f>
        <v>4.5</v>
      </c>
      <c r="BE25" s="13">
        <f t="shared" si="12"/>
        <v>12</v>
      </c>
      <c r="BF25" s="62">
        <v>12</v>
      </c>
      <c r="BG25" s="143">
        <f>3+2+1.5+1+1+3+3+1.5+1</f>
        <v>17</v>
      </c>
      <c r="BH25" s="13">
        <f t="shared" si="13"/>
        <v>7</v>
      </c>
      <c r="BI25" s="62"/>
      <c r="BJ25" s="143"/>
      <c r="BK25" s="13">
        <f t="shared" si="14"/>
        <v>7</v>
      </c>
      <c r="BL25" s="62"/>
      <c r="BM25" s="143">
        <f>0.5</f>
        <v>0.5</v>
      </c>
      <c r="BN25" s="13">
        <f t="shared" si="15"/>
        <v>6.5</v>
      </c>
      <c r="BO25" s="62">
        <v>10</v>
      </c>
      <c r="BP25" s="143">
        <f>2+3</f>
        <v>5</v>
      </c>
      <c r="BQ25" s="13">
        <f t="shared" si="16"/>
        <v>11.5</v>
      </c>
      <c r="BR25" s="62">
        <v>10</v>
      </c>
      <c r="BS25" s="143">
        <f>1+1.5+2</f>
        <v>4.5</v>
      </c>
      <c r="BT25" s="13">
        <f t="shared" si="17"/>
        <v>17</v>
      </c>
      <c r="BU25" s="62"/>
      <c r="BV25" s="143"/>
      <c r="BW25" s="13">
        <f t="shared" si="18"/>
        <v>17</v>
      </c>
      <c r="BX25" s="62"/>
      <c r="BY25" s="143"/>
      <c r="BZ25" s="13">
        <f t="shared" si="19"/>
        <v>17</v>
      </c>
      <c r="CA25" s="62"/>
      <c r="CB25" s="143">
        <f>3+1.5</f>
        <v>4.5</v>
      </c>
      <c r="CC25" s="13">
        <f t="shared" si="20"/>
        <v>12.5</v>
      </c>
      <c r="CD25" s="62"/>
      <c r="CE25" s="143"/>
      <c r="CF25" s="13">
        <f t="shared" si="21"/>
        <v>12.5</v>
      </c>
      <c r="CG25" s="62">
        <v>10</v>
      </c>
      <c r="CH25" s="143">
        <f>4+1+6+2.5</f>
        <v>13.5</v>
      </c>
      <c r="CI25" s="13">
        <f t="shared" si="31"/>
        <v>9</v>
      </c>
      <c r="CJ25" s="62"/>
      <c r="CK25" s="143"/>
      <c r="CL25" s="13">
        <f t="shared" si="32"/>
        <v>9</v>
      </c>
      <c r="CM25" s="62"/>
      <c r="CN25" s="143"/>
      <c r="CO25" s="13">
        <f t="shared" si="22"/>
        <v>9</v>
      </c>
      <c r="CP25" s="62"/>
      <c r="CQ25" s="143"/>
      <c r="CR25" s="13">
        <f t="shared" si="33"/>
        <v>9</v>
      </c>
      <c r="CS25" s="62"/>
      <c r="CT25" s="143"/>
      <c r="CU25" s="14">
        <f t="shared" si="23"/>
        <v>9</v>
      </c>
      <c r="CV25" s="5">
        <f t="shared" si="24"/>
        <v>120.5</v>
      </c>
      <c r="CW25" s="4">
        <f t="shared" si="24"/>
        <v>116</v>
      </c>
      <c r="CX25" s="6">
        <f t="shared" si="25"/>
        <v>9</v>
      </c>
      <c r="CY25" s="162">
        <v>220</v>
      </c>
      <c r="CZ25" s="171">
        <f t="shared" si="26"/>
        <v>1980</v>
      </c>
      <c r="DB25" s="2">
        <f t="shared" si="34"/>
        <v>9</v>
      </c>
      <c r="DC25" s="61"/>
      <c r="DD25" s="143">
        <v>2</v>
      </c>
      <c r="DE25" s="149">
        <f t="shared" si="35"/>
        <v>7</v>
      </c>
    </row>
    <row r="26" spans="1:109" ht="15.75" customHeight="1">
      <c r="A26" s="33"/>
      <c r="B26" s="7" t="s">
        <v>64</v>
      </c>
      <c r="C26" s="105" t="s">
        <v>65</v>
      </c>
      <c r="D26" s="35" t="s">
        <v>246</v>
      </c>
      <c r="E26" s="35" t="s">
        <v>51</v>
      </c>
      <c r="F26" s="14">
        <v>7</v>
      </c>
      <c r="G26" s="62">
        <f>-2+12</f>
        <v>10</v>
      </c>
      <c r="H26" s="143">
        <v>7</v>
      </c>
      <c r="I26" s="13">
        <f t="shared" si="0"/>
        <v>10</v>
      </c>
      <c r="J26" s="62"/>
      <c r="K26" s="143"/>
      <c r="L26" s="13">
        <f t="shared" si="1"/>
        <v>10</v>
      </c>
      <c r="M26" s="62">
        <v>3</v>
      </c>
      <c r="N26" s="143">
        <v>1</v>
      </c>
      <c r="O26" s="13">
        <f t="shared" si="2"/>
        <v>12</v>
      </c>
      <c r="P26" s="62">
        <v>5</v>
      </c>
      <c r="Q26" s="143">
        <v>7</v>
      </c>
      <c r="R26" s="30">
        <f t="shared" si="3"/>
        <v>10</v>
      </c>
      <c r="S26" s="62"/>
      <c r="T26" s="143"/>
      <c r="U26" s="13">
        <f t="shared" si="4"/>
        <v>10</v>
      </c>
      <c r="V26" s="62">
        <v>6</v>
      </c>
      <c r="W26" s="143">
        <v>6</v>
      </c>
      <c r="X26" s="13">
        <f t="shared" si="5"/>
        <v>10</v>
      </c>
      <c r="Y26" s="62">
        <v>5</v>
      </c>
      <c r="Z26" s="143">
        <v>3</v>
      </c>
      <c r="AA26" s="13">
        <f t="shared" si="27"/>
        <v>12</v>
      </c>
      <c r="AB26" s="62">
        <v>6</v>
      </c>
      <c r="AC26" s="143">
        <v>6</v>
      </c>
      <c r="AD26" s="13">
        <f t="shared" si="28"/>
        <v>12</v>
      </c>
      <c r="AE26" s="62"/>
      <c r="AF26" s="143"/>
      <c r="AG26" s="13">
        <f t="shared" si="29"/>
        <v>12</v>
      </c>
      <c r="AH26" s="62">
        <v>8</v>
      </c>
      <c r="AI26" s="143">
        <v>4</v>
      </c>
      <c r="AJ26" s="13">
        <f t="shared" si="30"/>
        <v>16</v>
      </c>
      <c r="AK26" s="61"/>
      <c r="AL26" s="143">
        <v>9</v>
      </c>
      <c r="AM26" s="13">
        <f t="shared" si="6"/>
        <v>7</v>
      </c>
      <c r="AN26" s="62"/>
      <c r="AO26" s="143"/>
      <c r="AP26" s="13">
        <f t="shared" si="7"/>
        <v>7</v>
      </c>
      <c r="AQ26" s="62">
        <v>8</v>
      </c>
      <c r="AR26" s="143">
        <v>5</v>
      </c>
      <c r="AS26" s="13">
        <f t="shared" si="8"/>
        <v>10</v>
      </c>
      <c r="AT26" s="62">
        <v>8</v>
      </c>
      <c r="AU26" s="143">
        <v>8</v>
      </c>
      <c r="AV26" s="13">
        <f t="shared" si="9"/>
        <v>10</v>
      </c>
      <c r="AW26" s="62">
        <v>7</v>
      </c>
      <c r="AX26" s="143">
        <v>7</v>
      </c>
      <c r="AY26" s="13">
        <f t="shared" si="10"/>
        <v>10</v>
      </c>
      <c r="AZ26" s="62"/>
      <c r="BA26" s="143"/>
      <c r="BB26" s="13">
        <f t="shared" si="11"/>
        <v>10</v>
      </c>
      <c r="BC26" s="62">
        <v>8</v>
      </c>
      <c r="BD26" s="143">
        <v>7</v>
      </c>
      <c r="BE26" s="13">
        <f t="shared" si="12"/>
        <v>11</v>
      </c>
      <c r="BF26" s="62">
        <v>7</v>
      </c>
      <c r="BG26" s="143">
        <v>7</v>
      </c>
      <c r="BH26" s="13">
        <f t="shared" si="13"/>
        <v>11</v>
      </c>
      <c r="BI26" s="62"/>
      <c r="BJ26" s="143"/>
      <c r="BK26" s="13">
        <f t="shared" si="14"/>
        <v>11</v>
      </c>
      <c r="BL26" s="62">
        <v>4</v>
      </c>
      <c r="BM26" s="143">
        <v>5</v>
      </c>
      <c r="BN26" s="13">
        <f t="shared" si="15"/>
        <v>10</v>
      </c>
      <c r="BO26" s="62">
        <v>8</v>
      </c>
      <c r="BP26" s="143">
        <v>2</v>
      </c>
      <c r="BQ26" s="13">
        <f t="shared" si="16"/>
        <v>16</v>
      </c>
      <c r="BR26" s="62">
        <f>10</f>
        <v>10</v>
      </c>
      <c r="BS26" s="143">
        <v>10</v>
      </c>
      <c r="BT26" s="13">
        <f t="shared" si="17"/>
        <v>16</v>
      </c>
      <c r="BU26" s="62"/>
      <c r="BV26" s="143"/>
      <c r="BW26" s="13">
        <f t="shared" si="18"/>
        <v>16</v>
      </c>
      <c r="BX26" s="62"/>
      <c r="BY26" s="143">
        <v>7</v>
      </c>
      <c r="BZ26" s="13">
        <f t="shared" si="19"/>
        <v>9</v>
      </c>
      <c r="CA26" s="62">
        <v>8</v>
      </c>
      <c r="CB26" s="143">
        <v>7</v>
      </c>
      <c r="CC26" s="13">
        <f t="shared" si="20"/>
        <v>10</v>
      </c>
      <c r="CD26" s="62"/>
      <c r="CE26" s="143"/>
      <c r="CF26" s="13">
        <f t="shared" si="21"/>
        <v>10</v>
      </c>
      <c r="CG26" s="62">
        <v>6</v>
      </c>
      <c r="CH26" s="143">
        <v>8</v>
      </c>
      <c r="CI26" s="13">
        <f t="shared" si="31"/>
        <v>8</v>
      </c>
      <c r="CJ26" s="62"/>
      <c r="CK26" s="143">
        <v>3</v>
      </c>
      <c r="CL26" s="13">
        <f t="shared" si="32"/>
        <v>5</v>
      </c>
      <c r="CM26" s="62"/>
      <c r="CN26" s="143"/>
      <c r="CO26" s="13">
        <f t="shared" si="22"/>
        <v>5</v>
      </c>
      <c r="CP26" s="62"/>
      <c r="CQ26" s="143"/>
      <c r="CR26" s="13">
        <f t="shared" si="33"/>
        <v>5</v>
      </c>
      <c r="CS26" s="62"/>
      <c r="CT26" s="143"/>
      <c r="CU26" s="14">
        <f t="shared" si="23"/>
        <v>5</v>
      </c>
      <c r="CV26" s="5">
        <f t="shared" si="24"/>
        <v>117</v>
      </c>
      <c r="CW26" s="4">
        <f t="shared" si="24"/>
        <v>119</v>
      </c>
      <c r="CX26" s="6">
        <f t="shared" si="25"/>
        <v>5</v>
      </c>
      <c r="CY26" s="162">
        <v>3800</v>
      </c>
      <c r="CZ26" s="171">
        <f t="shared" si="26"/>
        <v>19000</v>
      </c>
      <c r="DB26" s="2">
        <f t="shared" si="34"/>
        <v>5</v>
      </c>
      <c r="DC26" s="61"/>
      <c r="DD26" s="143"/>
      <c r="DE26" s="149">
        <f t="shared" si="35"/>
        <v>5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22.619999999999948</v>
      </c>
      <c r="G27" s="62">
        <v>3</v>
      </c>
      <c r="H27" s="143">
        <f>4+1.3+4+1+0.9+1.2</f>
        <v>12.4</v>
      </c>
      <c r="I27" s="13">
        <f t="shared" si="0"/>
        <v>13.219999999999947</v>
      </c>
      <c r="J27" s="62"/>
      <c r="K27" s="143"/>
      <c r="L27" s="13">
        <f t="shared" si="1"/>
        <v>13.219999999999947</v>
      </c>
      <c r="M27" s="62">
        <v>60</v>
      </c>
      <c r="N27" s="143">
        <f>4+1.6+1.8+1.4+1.2+3+6</f>
        <v>19</v>
      </c>
      <c r="O27" s="13">
        <f t="shared" si="2"/>
        <v>54.219999999999942</v>
      </c>
      <c r="P27" s="62"/>
      <c r="Q27" s="143">
        <f>2.7+0.9+1.5+1.2+0.8+1.2+0.9+0.7+1+0.8+1.3+1.2</f>
        <v>14.2</v>
      </c>
      <c r="R27" s="30">
        <f t="shared" si="3"/>
        <v>40.019999999999939</v>
      </c>
      <c r="S27" s="62"/>
      <c r="T27" s="143"/>
      <c r="U27" s="13">
        <f t="shared" si="4"/>
        <v>40.019999999999939</v>
      </c>
      <c r="V27" s="62"/>
      <c r="W27" s="143">
        <f>2.6+0.3+0.3+0.3+0.2+0.2+0.2+4</f>
        <v>8.1</v>
      </c>
      <c r="X27" s="13">
        <f t="shared" si="5"/>
        <v>31.919999999999938</v>
      </c>
      <c r="Y27" s="62">
        <v>40</v>
      </c>
      <c r="Z27" s="143">
        <f>10+0.8+1.1</f>
        <v>11.9</v>
      </c>
      <c r="AA27" s="13">
        <f t="shared" si="27"/>
        <v>60.019999999999932</v>
      </c>
      <c r="AB27" s="62"/>
      <c r="AC27" s="143">
        <f>4+0.9+1.3+0.7+1.2+2.2</f>
        <v>10.3</v>
      </c>
      <c r="AD27" s="13">
        <f t="shared" si="28"/>
        <v>49.719999999999928</v>
      </c>
      <c r="AE27" s="62"/>
      <c r="AF27" s="143"/>
      <c r="AG27" s="13">
        <f t="shared" si="29"/>
        <v>49.719999999999928</v>
      </c>
      <c r="AH27" s="62">
        <v>20</v>
      </c>
      <c r="AI27" s="143">
        <f>1.3+4.6+2+1.4+1.7+2.1+1.2+2</f>
        <v>16.299999999999997</v>
      </c>
      <c r="AJ27" s="13">
        <f t="shared" si="30"/>
        <v>53.419999999999931</v>
      </c>
      <c r="AK27" s="61"/>
      <c r="AL27" s="143">
        <f>10+2.6+0.9+1.4+1.9+2.1+2.1+1.9</f>
        <v>22.900000000000002</v>
      </c>
      <c r="AM27" s="13">
        <f t="shared" si="6"/>
        <v>30.519999999999929</v>
      </c>
      <c r="AN27" s="62"/>
      <c r="AO27" s="143"/>
      <c r="AP27" s="13">
        <f t="shared" si="7"/>
        <v>30.519999999999929</v>
      </c>
      <c r="AQ27" s="62"/>
      <c r="AR27" s="143">
        <f>0.3+0.1+0.2+0.2+0.2+0.2+2.5</f>
        <v>3.7</v>
      </c>
      <c r="AS27" s="13">
        <f t="shared" si="8"/>
        <v>26.819999999999929</v>
      </c>
      <c r="AT27" s="62">
        <v>40</v>
      </c>
      <c r="AU27" s="143">
        <f>2.5+1</f>
        <v>3.5</v>
      </c>
      <c r="AV27" s="13">
        <f t="shared" si="9"/>
        <v>63.319999999999936</v>
      </c>
      <c r="AW27" s="62">
        <v>1</v>
      </c>
      <c r="AX27" s="143">
        <f>6.6+3.9+2.3+0.8+4+1.4+2.4+1.1+0.9+4+2.3</f>
        <v>29.7</v>
      </c>
      <c r="AY27" s="13">
        <f t="shared" si="10"/>
        <v>34.619999999999933</v>
      </c>
      <c r="AZ27" s="62"/>
      <c r="BA27" s="143"/>
      <c r="BB27" s="13">
        <f t="shared" si="11"/>
        <v>34.619999999999933</v>
      </c>
      <c r="BC27" s="62">
        <v>20</v>
      </c>
      <c r="BD27" s="143">
        <f>2.8+1.8+2.6+1.2</f>
        <v>8.3999999999999986</v>
      </c>
      <c r="BE27" s="13">
        <f t="shared" si="12"/>
        <v>46.219999999999935</v>
      </c>
      <c r="BF27" s="62">
        <v>20</v>
      </c>
      <c r="BG27" s="143">
        <f>6.7+2.7+2.9+1.3+20+1.1+0.5+1.2+2.3+1.3+1.4+2</f>
        <v>43.4</v>
      </c>
      <c r="BH27" s="13">
        <f t="shared" si="13"/>
        <v>22.819999999999943</v>
      </c>
      <c r="BI27" s="62"/>
      <c r="BJ27" s="143"/>
      <c r="BK27" s="13">
        <f t="shared" si="14"/>
        <v>22.819999999999943</v>
      </c>
      <c r="BL27" s="62">
        <v>40</v>
      </c>
      <c r="BM27" s="143">
        <f>2.6+0.3+0.2+0.2+0.3+4</f>
        <v>7.6</v>
      </c>
      <c r="BN27" s="13">
        <f t="shared" si="15"/>
        <v>55.219999999999942</v>
      </c>
      <c r="BO27" s="62"/>
      <c r="BP27" s="143">
        <f>2</f>
        <v>2</v>
      </c>
      <c r="BQ27" s="13">
        <f t="shared" si="16"/>
        <v>53.219999999999942</v>
      </c>
      <c r="BR27" s="62">
        <v>20</v>
      </c>
      <c r="BS27" s="143">
        <f>4.6+2.5+1.5+1.2+1.3+1.3+1.6+2.2+1.8+1.5+2.1+1.6+3.5</f>
        <v>26.700000000000003</v>
      </c>
      <c r="BT27" s="13">
        <f t="shared" si="17"/>
        <v>46.519999999999939</v>
      </c>
      <c r="BU27" s="62"/>
      <c r="BV27" s="143"/>
      <c r="BW27" s="13">
        <f t="shared" si="18"/>
        <v>46.519999999999939</v>
      </c>
      <c r="BX27" s="62"/>
      <c r="BY27" s="143"/>
      <c r="BZ27" s="13">
        <f t="shared" si="19"/>
        <v>46.519999999999939</v>
      </c>
      <c r="CA27" s="62"/>
      <c r="CB27" s="143">
        <f>4.6+1.7+0.8+0.9+1.2+2.7+1+0.7+0.8+0.7+1.6+3.4</f>
        <v>20.099999999999998</v>
      </c>
      <c r="CC27" s="13">
        <f t="shared" si="20"/>
        <v>26.419999999999941</v>
      </c>
      <c r="CD27" s="62"/>
      <c r="CE27" s="143"/>
      <c r="CF27" s="13">
        <f t="shared" si="21"/>
        <v>26.419999999999941</v>
      </c>
      <c r="CG27" s="62">
        <v>20</v>
      </c>
      <c r="CH27" s="143">
        <f>10.1+10.3+0.4+0.2+0.3+2.7</f>
        <v>23.999999999999996</v>
      </c>
      <c r="CI27" s="13">
        <f t="shared" si="31"/>
        <v>22.419999999999948</v>
      </c>
      <c r="CJ27" s="62"/>
      <c r="CK27" s="143">
        <v>0.5</v>
      </c>
      <c r="CL27" s="13">
        <f t="shared" si="32"/>
        <v>21.919999999999948</v>
      </c>
      <c r="CM27" s="62"/>
      <c r="CN27" s="143"/>
      <c r="CO27" s="13">
        <f t="shared" si="22"/>
        <v>21.919999999999948</v>
      </c>
      <c r="CP27" s="62"/>
      <c r="CQ27" s="143"/>
      <c r="CR27" s="13">
        <f t="shared" si="33"/>
        <v>21.919999999999948</v>
      </c>
      <c r="CS27" s="62"/>
      <c r="CT27" s="143"/>
      <c r="CU27" s="14">
        <f t="shared" si="23"/>
        <v>21.919999999999948</v>
      </c>
      <c r="CV27" s="5">
        <f t="shared" si="24"/>
        <v>284</v>
      </c>
      <c r="CW27" s="4">
        <f t="shared" si="24"/>
        <v>284.70000000000005</v>
      </c>
      <c r="CX27" s="6">
        <f t="shared" si="25"/>
        <v>21.919999999999948</v>
      </c>
      <c r="CY27" s="162">
        <v>125</v>
      </c>
      <c r="CZ27" s="171">
        <f t="shared" si="26"/>
        <v>2739.9999999999936</v>
      </c>
      <c r="DB27" s="2">
        <f t="shared" si="34"/>
        <v>21.919999999999948</v>
      </c>
      <c r="DC27" s="61"/>
      <c r="DD27" s="143">
        <f>0.3+0.3+0.4+1.3</f>
        <v>2.2999999999999998</v>
      </c>
      <c r="DE27" s="149">
        <f t="shared" si="35"/>
        <v>19.619999999999948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10.399999999999999</v>
      </c>
      <c r="G28" s="62"/>
      <c r="H28" s="143">
        <v>1</v>
      </c>
      <c r="I28" s="13">
        <f t="shared" si="0"/>
        <v>9.3999999999999986</v>
      </c>
      <c r="J28" s="62"/>
      <c r="K28" s="143"/>
      <c r="L28" s="13">
        <f t="shared" si="1"/>
        <v>9.3999999999999986</v>
      </c>
      <c r="M28" s="62"/>
      <c r="N28" s="143"/>
      <c r="O28" s="13">
        <f t="shared" si="2"/>
        <v>9.3999999999999986</v>
      </c>
      <c r="P28" s="62"/>
      <c r="Q28" s="143">
        <f>2</f>
        <v>2</v>
      </c>
      <c r="R28" s="30">
        <f t="shared" si="3"/>
        <v>7.3999999999999986</v>
      </c>
      <c r="S28" s="62"/>
      <c r="T28" s="143"/>
      <c r="U28" s="13">
        <f t="shared" si="4"/>
        <v>7.3999999999999986</v>
      </c>
      <c r="V28" s="62"/>
      <c r="W28" s="143"/>
      <c r="X28" s="13">
        <f t="shared" si="5"/>
        <v>7.3999999999999986</v>
      </c>
      <c r="Y28" s="62"/>
      <c r="Z28" s="143">
        <v>0.5</v>
      </c>
      <c r="AA28" s="13">
        <f t="shared" si="27"/>
        <v>6.8999999999999986</v>
      </c>
      <c r="AB28" s="62"/>
      <c r="AC28" s="143">
        <v>1</v>
      </c>
      <c r="AD28" s="13">
        <f t="shared" si="28"/>
        <v>5.8999999999999986</v>
      </c>
      <c r="AE28" s="62"/>
      <c r="AF28" s="143"/>
      <c r="AG28" s="13">
        <f t="shared" si="29"/>
        <v>5.8999999999999986</v>
      </c>
      <c r="AH28" s="62">
        <v>20</v>
      </c>
      <c r="AI28" s="143"/>
      <c r="AJ28" s="13">
        <f t="shared" si="30"/>
        <v>25.9</v>
      </c>
      <c r="AK28" s="61"/>
      <c r="AL28" s="143">
        <f>3</f>
        <v>3</v>
      </c>
      <c r="AM28" s="13">
        <f t="shared" si="6"/>
        <v>22.9</v>
      </c>
      <c r="AN28" s="62"/>
      <c r="AO28" s="143"/>
      <c r="AP28" s="13">
        <f t="shared" si="7"/>
        <v>22.9</v>
      </c>
      <c r="AQ28" s="62"/>
      <c r="AR28" s="143"/>
      <c r="AS28" s="13">
        <f t="shared" si="8"/>
        <v>22.9</v>
      </c>
      <c r="AT28" s="62"/>
      <c r="AU28" s="143">
        <f>1</f>
        <v>1</v>
      </c>
      <c r="AV28" s="13">
        <f t="shared" si="9"/>
        <v>21.9</v>
      </c>
      <c r="AW28" s="62">
        <v>-1</v>
      </c>
      <c r="AX28" s="143">
        <f>1</f>
        <v>1</v>
      </c>
      <c r="AY28" s="13">
        <f t="shared" si="10"/>
        <v>19.899999999999999</v>
      </c>
      <c r="AZ28" s="62"/>
      <c r="BA28" s="143"/>
      <c r="BB28" s="13">
        <f t="shared" si="11"/>
        <v>19.899999999999999</v>
      </c>
      <c r="BC28" s="62"/>
      <c r="BD28" s="143">
        <v>0.5</v>
      </c>
      <c r="BE28" s="13">
        <f t="shared" si="12"/>
        <v>19.399999999999999</v>
      </c>
      <c r="BF28" s="62"/>
      <c r="BG28" s="143"/>
      <c r="BH28" s="13">
        <f t="shared" si="13"/>
        <v>19.399999999999999</v>
      </c>
      <c r="BI28" s="62"/>
      <c r="BJ28" s="143"/>
      <c r="BK28" s="13">
        <f t="shared" si="14"/>
        <v>19.399999999999999</v>
      </c>
      <c r="BL28" s="62"/>
      <c r="BM28" s="143"/>
      <c r="BN28" s="13">
        <f t="shared" si="15"/>
        <v>19.399999999999999</v>
      </c>
      <c r="BO28" s="62"/>
      <c r="BP28" s="143">
        <f>3.6</f>
        <v>3.6</v>
      </c>
      <c r="BQ28" s="13">
        <f t="shared" si="16"/>
        <v>15.799999999999999</v>
      </c>
      <c r="BR28" s="62"/>
      <c r="BS28" s="143">
        <v>2</v>
      </c>
      <c r="BT28" s="13">
        <f t="shared" si="17"/>
        <v>13.799999999999999</v>
      </c>
      <c r="BU28" s="62"/>
      <c r="BV28" s="143"/>
      <c r="BW28" s="13">
        <f t="shared" si="18"/>
        <v>13.799999999999999</v>
      </c>
      <c r="BX28" s="62"/>
      <c r="BY28" s="143"/>
      <c r="BZ28" s="13">
        <f t="shared" si="19"/>
        <v>13.799999999999999</v>
      </c>
      <c r="CA28" s="62"/>
      <c r="CB28" s="143">
        <v>3.5</v>
      </c>
      <c r="CC28" s="13">
        <f t="shared" si="20"/>
        <v>10.299999999999999</v>
      </c>
      <c r="CD28" s="62"/>
      <c r="CE28" s="143"/>
      <c r="CF28" s="13">
        <f t="shared" si="21"/>
        <v>10.299999999999999</v>
      </c>
      <c r="CG28" s="62"/>
      <c r="CH28" s="143">
        <v>2</v>
      </c>
      <c r="CI28" s="13">
        <f t="shared" si="31"/>
        <v>8.2999999999999989</v>
      </c>
      <c r="CJ28" s="62"/>
      <c r="CK28" s="143"/>
      <c r="CL28" s="13">
        <f t="shared" si="32"/>
        <v>8.2999999999999989</v>
      </c>
      <c r="CM28" s="62"/>
      <c r="CN28" s="143"/>
      <c r="CO28" s="13">
        <f t="shared" si="22"/>
        <v>8.2999999999999989</v>
      </c>
      <c r="CP28" s="62"/>
      <c r="CQ28" s="143"/>
      <c r="CR28" s="13">
        <f t="shared" si="33"/>
        <v>8.2999999999999989</v>
      </c>
      <c r="CS28" s="62"/>
      <c r="CT28" s="143"/>
      <c r="CU28" s="14">
        <f t="shared" si="23"/>
        <v>8.2999999999999989</v>
      </c>
      <c r="CV28" s="5">
        <f t="shared" si="24"/>
        <v>19</v>
      </c>
      <c r="CW28" s="4">
        <f t="shared" si="24"/>
        <v>21.1</v>
      </c>
      <c r="CX28" s="6">
        <f t="shared" si="25"/>
        <v>8.2999999999999989</v>
      </c>
      <c r="CY28" s="162">
        <v>100</v>
      </c>
      <c r="CZ28" s="171">
        <f t="shared" si="26"/>
        <v>829.99999999999989</v>
      </c>
      <c r="DB28" s="2">
        <f t="shared" si="34"/>
        <v>8.2999999999999989</v>
      </c>
      <c r="DC28" s="61"/>
      <c r="DD28" s="143"/>
      <c r="DE28" s="149">
        <f t="shared" si="35"/>
        <v>8.2999999999999989</v>
      </c>
    </row>
    <row r="29" spans="1:109" ht="15.75" customHeight="1">
      <c r="A29" s="33"/>
      <c r="B29" s="7" t="s">
        <v>70</v>
      </c>
      <c r="C29" s="105" t="s">
        <v>30</v>
      </c>
      <c r="D29" s="35" t="s">
        <v>247</v>
      </c>
      <c r="E29" s="35" t="s">
        <v>71</v>
      </c>
      <c r="F29" s="14">
        <v>12</v>
      </c>
      <c r="G29" s="62">
        <v>20</v>
      </c>
      <c r="H29" s="143">
        <v>18</v>
      </c>
      <c r="I29" s="13">
        <f t="shared" si="0"/>
        <v>14</v>
      </c>
      <c r="J29" s="62"/>
      <c r="K29" s="143"/>
      <c r="L29" s="13">
        <f t="shared" si="1"/>
        <v>14</v>
      </c>
      <c r="M29" s="62">
        <v>10</v>
      </c>
      <c r="N29" s="143">
        <f>4+5</f>
        <v>9</v>
      </c>
      <c r="O29" s="13">
        <f t="shared" si="2"/>
        <v>15</v>
      </c>
      <c r="P29" s="62">
        <v>10</v>
      </c>
      <c r="Q29" s="143">
        <f>10+3</f>
        <v>13</v>
      </c>
      <c r="R29" s="30">
        <f t="shared" si="3"/>
        <v>12</v>
      </c>
      <c r="S29" s="62"/>
      <c r="T29" s="143"/>
      <c r="U29" s="13">
        <f t="shared" si="4"/>
        <v>12</v>
      </c>
      <c r="V29" s="62">
        <v>10</v>
      </c>
      <c r="W29" s="143">
        <f>1</f>
        <v>1</v>
      </c>
      <c r="X29" s="13">
        <f t="shared" si="5"/>
        <v>21</v>
      </c>
      <c r="Y29" s="62"/>
      <c r="Z29" s="143">
        <f>7+3</f>
        <v>10</v>
      </c>
      <c r="AA29" s="13">
        <f t="shared" si="27"/>
        <v>11</v>
      </c>
      <c r="AB29" s="62">
        <v>10</v>
      </c>
      <c r="AC29" s="143">
        <v>8</v>
      </c>
      <c r="AD29" s="13">
        <f t="shared" si="28"/>
        <v>13</v>
      </c>
      <c r="AE29" s="62"/>
      <c r="AF29" s="143"/>
      <c r="AG29" s="13">
        <f>AD29+AE29-AF29</f>
        <v>13</v>
      </c>
      <c r="AH29" s="62">
        <v>30</v>
      </c>
      <c r="AI29" s="143">
        <f>6+8+5+3</f>
        <v>22</v>
      </c>
      <c r="AJ29" s="13">
        <f t="shared" si="30"/>
        <v>21</v>
      </c>
      <c r="AK29" s="61"/>
      <c r="AL29" s="143">
        <v>14</v>
      </c>
      <c r="AM29" s="13">
        <f t="shared" si="6"/>
        <v>7</v>
      </c>
      <c r="AN29" s="62">
        <v>5</v>
      </c>
      <c r="AO29" s="143"/>
      <c r="AP29" s="13">
        <f t="shared" si="7"/>
        <v>12</v>
      </c>
      <c r="AQ29" s="62">
        <f>-1+10+10</f>
        <v>19</v>
      </c>
      <c r="AR29" s="143">
        <f>5+7</f>
        <v>12</v>
      </c>
      <c r="AS29" s="13">
        <f t="shared" si="8"/>
        <v>19</v>
      </c>
      <c r="AT29" s="62">
        <v>10</v>
      </c>
      <c r="AU29" s="143">
        <f>1+5</f>
        <v>6</v>
      </c>
      <c r="AV29" s="13">
        <f t="shared" si="9"/>
        <v>23</v>
      </c>
      <c r="AW29" s="62">
        <v>10</v>
      </c>
      <c r="AX29" s="143">
        <f>5+9</f>
        <v>14</v>
      </c>
      <c r="AY29" s="13">
        <f t="shared" si="10"/>
        <v>19</v>
      </c>
      <c r="AZ29" s="62"/>
      <c r="BA29" s="143"/>
      <c r="BB29" s="13">
        <f t="shared" si="11"/>
        <v>19</v>
      </c>
      <c r="BC29" s="62">
        <v>20</v>
      </c>
      <c r="BD29" s="143">
        <f>7+5</f>
        <v>12</v>
      </c>
      <c r="BE29" s="13">
        <f t="shared" si="12"/>
        <v>27</v>
      </c>
      <c r="BF29" s="62"/>
      <c r="BG29" s="143">
        <f>7</f>
        <v>7</v>
      </c>
      <c r="BH29" s="13">
        <f t="shared" si="13"/>
        <v>20</v>
      </c>
      <c r="BI29" s="62"/>
      <c r="BJ29" s="143"/>
      <c r="BK29" s="13">
        <f t="shared" si="14"/>
        <v>20</v>
      </c>
      <c r="BL29" s="62">
        <v>10</v>
      </c>
      <c r="BM29" s="143">
        <v>6</v>
      </c>
      <c r="BN29" s="13">
        <f t="shared" si="15"/>
        <v>24</v>
      </c>
      <c r="BO29" s="62"/>
      <c r="BP29" s="143">
        <f>4</f>
        <v>4</v>
      </c>
      <c r="BQ29" s="13">
        <f t="shared" si="16"/>
        <v>20</v>
      </c>
      <c r="BR29" s="62">
        <v>20</v>
      </c>
      <c r="BS29" s="143">
        <v>17</v>
      </c>
      <c r="BT29" s="13">
        <f t="shared" si="17"/>
        <v>23</v>
      </c>
      <c r="BU29" s="62"/>
      <c r="BV29" s="143"/>
      <c r="BW29" s="13">
        <f t="shared" si="18"/>
        <v>23</v>
      </c>
      <c r="BX29" s="62"/>
      <c r="BY29" s="143">
        <v>10</v>
      </c>
      <c r="BZ29" s="13">
        <f t="shared" si="19"/>
        <v>13</v>
      </c>
      <c r="CA29" s="62">
        <f>-4+20+30</f>
        <v>46</v>
      </c>
      <c r="CB29" s="143">
        <f>6+7+8+5+3</f>
        <v>29</v>
      </c>
      <c r="CC29" s="13">
        <f t="shared" si="20"/>
        <v>30</v>
      </c>
      <c r="CD29" s="62"/>
      <c r="CE29" s="143"/>
      <c r="CF29" s="13">
        <f t="shared" si="21"/>
        <v>30</v>
      </c>
      <c r="CG29" s="62">
        <f>-17+40</f>
        <v>23</v>
      </c>
      <c r="CH29" s="143">
        <f>3+7+20</f>
        <v>30</v>
      </c>
      <c r="CI29" s="13">
        <f t="shared" si="31"/>
        <v>23</v>
      </c>
      <c r="CJ29" s="62">
        <f>-41+60</f>
        <v>19</v>
      </c>
      <c r="CK29" s="143">
        <f>8+6+9</f>
        <v>23</v>
      </c>
      <c r="CL29" s="13">
        <f t="shared" si="32"/>
        <v>19</v>
      </c>
      <c r="CM29" s="62"/>
      <c r="CN29" s="143"/>
      <c r="CO29" s="13">
        <f t="shared" si="22"/>
        <v>19</v>
      </c>
      <c r="CP29" s="62"/>
      <c r="CQ29" s="143"/>
      <c r="CR29" s="13">
        <f t="shared" si="33"/>
        <v>19</v>
      </c>
      <c r="CS29" s="62"/>
      <c r="CT29" s="143"/>
      <c r="CU29" s="14">
        <f t="shared" si="23"/>
        <v>19</v>
      </c>
      <c r="CV29" s="5">
        <f t="shared" si="24"/>
        <v>272</v>
      </c>
      <c r="CW29" s="4">
        <f t="shared" si="24"/>
        <v>265</v>
      </c>
      <c r="CX29" s="6">
        <f t="shared" si="25"/>
        <v>19</v>
      </c>
      <c r="CY29" s="162">
        <v>100</v>
      </c>
      <c r="CZ29" s="171">
        <f t="shared" si="26"/>
        <v>1900</v>
      </c>
      <c r="DB29" s="2">
        <f t="shared" si="34"/>
        <v>19</v>
      </c>
      <c r="DC29" s="61"/>
      <c r="DD29" s="143"/>
      <c r="DE29" s="149">
        <f t="shared" si="35"/>
        <v>19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2"/>
      <c r="N30" s="143"/>
      <c r="O30" s="13">
        <f t="shared" si="2"/>
        <v>0</v>
      </c>
      <c r="P30" s="62"/>
      <c r="Q30" s="143"/>
      <c r="R30" s="30">
        <f t="shared" si="3"/>
        <v>0</v>
      </c>
      <c r="S30" s="62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1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62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2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2"/>
      <c r="N31" s="143"/>
      <c r="O31" s="13">
        <f t="shared" si="2"/>
        <v>0</v>
      </c>
      <c r="P31" s="62"/>
      <c r="Q31" s="143"/>
      <c r="R31" s="30">
        <f t="shared" si="3"/>
        <v>0</v>
      </c>
      <c r="S31" s="62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1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62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2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0</v>
      </c>
      <c r="G32" s="62"/>
      <c r="H32" s="143"/>
      <c r="I32" s="13">
        <f t="shared" si="0"/>
        <v>0</v>
      </c>
      <c r="J32" s="62"/>
      <c r="K32" s="143"/>
      <c r="L32" s="13">
        <f t="shared" si="1"/>
        <v>0</v>
      </c>
      <c r="M32" s="62"/>
      <c r="N32" s="143"/>
      <c r="O32" s="13">
        <f t="shared" si="2"/>
        <v>0</v>
      </c>
      <c r="P32" s="62"/>
      <c r="Q32" s="143"/>
      <c r="R32" s="30">
        <f t="shared" si="3"/>
        <v>0</v>
      </c>
      <c r="S32" s="62"/>
      <c r="T32" s="143"/>
      <c r="U32" s="13">
        <f t="shared" si="4"/>
        <v>0</v>
      </c>
      <c r="V32" s="62"/>
      <c r="W32" s="143"/>
      <c r="X32" s="13">
        <f t="shared" si="5"/>
        <v>0</v>
      </c>
      <c r="Y32" s="62"/>
      <c r="Z32" s="143"/>
      <c r="AA32" s="13">
        <f t="shared" si="27"/>
        <v>0</v>
      </c>
      <c r="AB32" s="62"/>
      <c r="AC32" s="143"/>
      <c r="AD32" s="13">
        <f t="shared" si="28"/>
        <v>0</v>
      </c>
      <c r="AE32" s="62"/>
      <c r="AF32" s="143"/>
      <c r="AG32" s="13">
        <f t="shared" si="29"/>
        <v>0</v>
      </c>
      <c r="AH32" s="62"/>
      <c r="AI32" s="143"/>
      <c r="AJ32" s="13">
        <f t="shared" si="30"/>
        <v>0</v>
      </c>
      <c r="AK32" s="61"/>
      <c r="AL32" s="143"/>
      <c r="AM32" s="13">
        <f t="shared" si="6"/>
        <v>0</v>
      </c>
      <c r="AN32" s="62"/>
      <c r="AO32" s="143"/>
      <c r="AP32" s="13">
        <f t="shared" si="7"/>
        <v>0</v>
      </c>
      <c r="AQ32" s="62">
        <f>-8+1+24</f>
        <v>17</v>
      </c>
      <c r="AR32" s="143"/>
      <c r="AS32" s="13">
        <f t="shared" si="8"/>
        <v>17</v>
      </c>
      <c r="AT32" s="62"/>
      <c r="AU32" s="143">
        <f>1</f>
        <v>1</v>
      </c>
      <c r="AV32" s="13">
        <f t="shared" si="9"/>
        <v>16</v>
      </c>
      <c r="AW32" s="62"/>
      <c r="AX32" s="143"/>
      <c r="AY32" s="13">
        <f t="shared" si="10"/>
        <v>16</v>
      </c>
      <c r="AZ32" s="62"/>
      <c r="BA32" s="143"/>
      <c r="BB32" s="13">
        <f t="shared" si="11"/>
        <v>16</v>
      </c>
      <c r="BC32" s="62"/>
      <c r="BD32" s="143"/>
      <c r="BE32" s="13">
        <f t="shared" si="12"/>
        <v>16</v>
      </c>
      <c r="BF32" s="62"/>
      <c r="BG32" s="143"/>
      <c r="BH32" s="13">
        <f t="shared" si="13"/>
        <v>16</v>
      </c>
      <c r="BI32" s="62"/>
      <c r="BJ32" s="143"/>
      <c r="BK32" s="13">
        <f t="shared" si="14"/>
        <v>16</v>
      </c>
      <c r="BL32" s="62"/>
      <c r="BM32" s="143"/>
      <c r="BN32" s="13">
        <f t="shared" si="15"/>
        <v>16</v>
      </c>
      <c r="BO32" s="62"/>
      <c r="BP32" s="143">
        <f>2</f>
        <v>2</v>
      </c>
      <c r="BQ32" s="13">
        <f t="shared" si="16"/>
        <v>14</v>
      </c>
      <c r="BR32" s="62"/>
      <c r="BS32" s="143">
        <v>11</v>
      </c>
      <c r="BT32" s="13">
        <f t="shared" si="17"/>
        <v>3</v>
      </c>
      <c r="BU32" s="62"/>
      <c r="BV32" s="143"/>
      <c r="BW32" s="13">
        <f t="shared" si="18"/>
        <v>3</v>
      </c>
      <c r="BX32" s="62"/>
      <c r="BY32" s="143"/>
      <c r="BZ32" s="13">
        <f t="shared" si="19"/>
        <v>3</v>
      </c>
      <c r="CA32" s="62">
        <f>-11+24</f>
        <v>13</v>
      </c>
      <c r="CB32" s="143">
        <v>3</v>
      </c>
      <c r="CC32" s="13">
        <f t="shared" si="20"/>
        <v>13</v>
      </c>
      <c r="CD32" s="62"/>
      <c r="CE32" s="143"/>
      <c r="CF32" s="13">
        <f t="shared" si="21"/>
        <v>13</v>
      </c>
      <c r="CG32" s="62">
        <f>-23+72</f>
        <v>49</v>
      </c>
      <c r="CH32" s="143">
        <f>1+12</f>
        <v>13</v>
      </c>
      <c r="CI32" s="13">
        <f t="shared" si="31"/>
        <v>49</v>
      </c>
      <c r="CJ32" s="62">
        <f>-14+48</f>
        <v>34</v>
      </c>
      <c r="CK32" s="143">
        <f>20+29</f>
        <v>49</v>
      </c>
      <c r="CL32" s="13">
        <f t="shared" si="32"/>
        <v>34</v>
      </c>
      <c r="CM32" s="62"/>
      <c r="CN32" s="143"/>
      <c r="CO32" s="13">
        <f t="shared" si="22"/>
        <v>34</v>
      </c>
      <c r="CP32" s="62"/>
      <c r="CQ32" s="143"/>
      <c r="CR32" s="13">
        <f t="shared" si="33"/>
        <v>34</v>
      </c>
      <c r="CS32" s="62"/>
      <c r="CT32" s="143"/>
      <c r="CU32" s="14">
        <f t="shared" si="23"/>
        <v>34</v>
      </c>
      <c r="CV32" s="5">
        <f t="shared" si="24"/>
        <v>113</v>
      </c>
      <c r="CW32" s="4">
        <f t="shared" si="24"/>
        <v>79</v>
      </c>
      <c r="CX32" s="6">
        <f t="shared" si="25"/>
        <v>34</v>
      </c>
      <c r="CY32" s="162">
        <v>83</v>
      </c>
      <c r="CZ32" s="171">
        <f t="shared" si="26"/>
        <v>2822</v>
      </c>
      <c r="DB32" s="2">
        <f t="shared" si="34"/>
        <v>34</v>
      </c>
      <c r="DC32" s="61"/>
      <c r="DD32" s="143"/>
      <c r="DE32" s="149">
        <f t="shared" si="35"/>
        <v>34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2"/>
      <c r="N33" s="143"/>
      <c r="O33" s="13">
        <f t="shared" si="2"/>
        <v>0</v>
      </c>
      <c r="P33" s="62"/>
      <c r="Q33" s="143"/>
      <c r="R33" s="13">
        <f t="shared" si="3"/>
        <v>0</v>
      </c>
      <c r="S33" s="62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1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62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2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2"/>
      <c r="N34" s="143"/>
      <c r="O34" s="13">
        <f t="shared" si="2"/>
        <v>0</v>
      </c>
      <c r="P34" s="62"/>
      <c r="Q34" s="143"/>
      <c r="R34" s="30">
        <f t="shared" si="3"/>
        <v>0</v>
      </c>
      <c r="S34" s="62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1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62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2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7" t="s">
        <v>234</v>
      </c>
      <c r="C35" s="105" t="s">
        <v>25</v>
      </c>
      <c r="D35" s="35"/>
      <c r="E35" s="35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2"/>
      <c r="N35" s="143"/>
      <c r="O35" s="13">
        <f t="shared" si="2"/>
        <v>0</v>
      </c>
      <c r="P35" s="62"/>
      <c r="Q35" s="143"/>
      <c r="R35" s="30">
        <f t="shared" si="3"/>
        <v>0</v>
      </c>
      <c r="S35" s="62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1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62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>
        <v>2</v>
      </c>
      <c r="CH35" s="143"/>
      <c r="CI35" s="13">
        <f t="shared" si="31"/>
        <v>2</v>
      </c>
      <c r="CJ35" s="62">
        <f>-2+4</f>
        <v>2</v>
      </c>
      <c r="CK35" s="143">
        <v>2</v>
      </c>
      <c r="CL35" s="13">
        <f t="shared" si="32"/>
        <v>2</v>
      </c>
      <c r="CM35" s="62"/>
      <c r="CN35" s="143"/>
      <c r="CO35" s="13">
        <f t="shared" si="22"/>
        <v>2</v>
      </c>
      <c r="CP35" s="62"/>
      <c r="CQ35" s="143"/>
      <c r="CR35" s="13">
        <f t="shared" si="33"/>
        <v>2</v>
      </c>
      <c r="CS35" s="62"/>
      <c r="CT35" s="143"/>
      <c r="CU35" s="14">
        <f t="shared" si="23"/>
        <v>2</v>
      </c>
      <c r="CV35" s="5">
        <f t="shared" si="24"/>
        <v>4</v>
      </c>
      <c r="CW35" s="4">
        <f t="shared" si="24"/>
        <v>2</v>
      </c>
      <c r="CX35" s="6">
        <f t="shared" si="25"/>
        <v>2</v>
      </c>
      <c r="CY35" s="162">
        <v>450</v>
      </c>
      <c r="CZ35" s="171">
        <f t="shared" si="26"/>
        <v>900</v>
      </c>
      <c r="DB35" s="2">
        <f t="shared" si="34"/>
        <v>2</v>
      </c>
      <c r="DC35" s="61"/>
      <c r="DD35" s="143"/>
      <c r="DE35" s="149">
        <f t="shared" si="35"/>
        <v>2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4</v>
      </c>
      <c r="G36" s="62">
        <f>-1+8</f>
        <v>7</v>
      </c>
      <c r="H36" s="143">
        <v>5</v>
      </c>
      <c r="I36" s="13">
        <f t="shared" si="0"/>
        <v>6</v>
      </c>
      <c r="J36" s="62"/>
      <c r="K36" s="143"/>
      <c r="L36" s="13">
        <f t="shared" si="1"/>
        <v>6</v>
      </c>
      <c r="M36" s="62">
        <v>6</v>
      </c>
      <c r="N36" s="143">
        <v>2</v>
      </c>
      <c r="O36" s="13">
        <f t="shared" si="2"/>
        <v>10</v>
      </c>
      <c r="P36" s="62">
        <v>6</v>
      </c>
      <c r="Q36" s="143">
        <f>7+1</f>
        <v>8</v>
      </c>
      <c r="R36" s="30">
        <f t="shared" si="3"/>
        <v>8</v>
      </c>
      <c r="S36" s="62"/>
      <c r="T36" s="143"/>
      <c r="U36" s="13">
        <f t="shared" si="4"/>
        <v>8</v>
      </c>
      <c r="V36" s="62">
        <v>4</v>
      </c>
      <c r="W36" s="143">
        <v>3</v>
      </c>
      <c r="X36" s="13">
        <f t="shared" si="5"/>
        <v>9</v>
      </c>
      <c r="Y36" s="62">
        <v>6</v>
      </c>
      <c r="Z36" s="143">
        <v>3</v>
      </c>
      <c r="AA36" s="13">
        <f t="shared" si="27"/>
        <v>12</v>
      </c>
      <c r="AB36" s="62">
        <v>6</v>
      </c>
      <c r="AC36" s="143">
        <f>5+1</f>
        <v>6</v>
      </c>
      <c r="AD36" s="13">
        <f t="shared" si="28"/>
        <v>12</v>
      </c>
      <c r="AE36" s="62"/>
      <c r="AF36" s="143"/>
      <c r="AG36" s="13">
        <f t="shared" si="29"/>
        <v>12</v>
      </c>
      <c r="AH36" s="62">
        <v>8</v>
      </c>
      <c r="AI36" s="143">
        <v>5</v>
      </c>
      <c r="AJ36" s="13">
        <f t="shared" si="30"/>
        <v>15</v>
      </c>
      <c r="AK36" s="61"/>
      <c r="AL36" s="143">
        <v>11</v>
      </c>
      <c r="AM36" s="13">
        <f t="shared" si="6"/>
        <v>4</v>
      </c>
      <c r="AN36" s="62">
        <v>6</v>
      </c>
      <c r="AO36" s="143"/>
      <c r="AP36" s="13">
        <f t="shared" si="7"/>
        <v>10</v>
      </c>
      <c r="AQ36" s="62">
        <v>6</v>
      </c>
      <c r="AR36" s="143">
        <f>7+1</f>
        <v>8</v>
      </c>
      <c r="AS36" s="13">
        <f t="shared" si="8"/>
        <v>8</v>
      </c>
      <c r="AT36" s="62">
        <v>6</v>
      </c>
      <c r="AU36" s="143">
        <v>6</v>
      </c>
      <c r="AV36" s="13">
        <f t="shared" si="9"/>
        <v>8</v>
      </c>
      <c r="AW36" s="62">
        <f>-5+10</f>
        <v>5</v>
      </c>
      <c r="AX36" s="143">
        <v>6</v>
      </c>
      <c r="AY36" s="13">
        <f t="shared" si="10"/>
        <v>7</v>
      </c>
      <c r="AZ36" s="62"/>
      <c r="BA36" s="143"/>
      <c r="BB36" s="13">
        <f t="shared" si="11"/>
        <v>7</v>
      </c>
      <c r="BC36" s="62">
        <v>12</v>
      </c>
      <c r="BD36" s="143">
        <v>6</v>
      </c>
      <c r="BE36" s="13">
        <f t="shared" si="12"/>
        <v>13</v>
      </c>
      <c r="BF36" s="62">
        <v>10</v>
      </c>
      <c r="BG36" s="143">
        <f>6+4+1</f>
        <v>11</v>
      </c>
      <c r="BH36" s="13">
        <f t="shared" si="13"/>
        <v>12</v>
      </c>
      <c r="BI36" s="62"/>
      <c r="BJ36" s="143"/>
      <c r="BK36" s="13">
        <f t="shared" si="14"/>
        <v>12</v>
      </c>
      <c r="BL36" s="62">
        <v>10</v>
      </c>
      <c r="BM36" s="143">
        <v>5</v>
      </c>
      <c r="BN36" s="13">
        <f t="shared" si="15"/>
        <v>17</v>
      </c>
      <c r="BO36" s="62">
        <v>10</v>
      </c>
      <c r="BP36" s="143">
        <f>3+2</f>
        <v>5</v>
      </c>
      <c r="BQ36" s="13">
        <f t="shared" si="16"/>
        <v>22</v>
      </c>
      <c r="BR36" s="62">
        <v>10</v>
      </c>
      <c r="BS36" s="143">
        <v>8</v>
      </c>
      <c r="BT36" s="13">
        <f t="shared" si="17"/>
        <v>24</v>
      </c>
      <c r="BU36" s="62"/>
      <c r="BV36" s="143"/>
      <c r="BW36" s="13">
        <f t="shared" si="18"/>
        <v>24</v>
      </c>
      <c r="BX36" s="62"/>
      <c r="BY36" s="143">
        <v>7</v>
      </c>
      <c r="BZ36" s="13">
        <f t="shared" si="19"/>
        <v>17</v>
      </c>
      <c r="CA36" s="62">
        <v>4</v>
      </c>
      <c r="CB36" s="143">
        <v>6</v>
      </c>
      <c r="CC36" s="13">
        <f t="shared" si="20"/>
        <v>15</v>
      </c>
      <c r="CD36" s="62"/>
      <c r="CE36" s="143"/>
      <c r="CF36" s="13">
        <f t="shared" si="21"/>
        <v>15</v>
      </c>
      <c r="CG36" s="62">
        <v>4</v>
      </c>
      <c r="CH36" s="143">
        <f>5+6</f>
        <v>11</v>
      </c>
      <c r="CI36" s="13">
        <f t="shared" si="31"/>
        <v>8</v>
      </c>
      <c r="CJ36" s="62">
        <v>4</v>
      </c>
      <c r="CK36" s="143">
        <f>5+1</f>
        <v>6</v>
      </c>
      <c r="CL36" s="13">
        <f t="shared" si="32"/>
        <v>6</v>
      </c>
      <c r="CM36" s="62"/>
      <c r="CN36" s="143"/>
      <c r="CO36" s="13">
        <f t="shared" si="22"/>
        <v>6</v>
      </c>
      <c r="CP36" s="62"/>
      <c r="CQ36" s="143"/>
      <c r="CR36" s="13">
        <f t="shared" si="33"/>
        <v>6</v>
      </c>
      <c r="CS36" s="62"/>
      <c r="CT36" s="143"/>
      <c r="CU36" s="14">
        <f t="shared" si="23"/>
        <v>6</v>
      </c>
      <c r="CV36" s="5">
        <f t="shared" si="24"/>
        <v>130</v>
      </c>
      <c r="CW36" s="4">
        <f t="shared" si="24"/>
        <v>128</v>
      </c>
      <c r="CX36" s="6">
        <f t="shared" si="25"/>
        <v>6</v>
      </c>
      <c r="CY36" s="162">
        <v>1700</v>
      </c>
      <c r="CZ36" s="171">
        <f t="shared" si="26"/>
        <v>10200</v>
      </c>
      <c r="DB36" s="2">
        <f t="shared" si="34"/>
        <v>6</v>
      </c>
      <c r="DC36" s="61"/>
      <c r="DD36" s="143"/>
      <c r="DE36" s="149">
        <f t="shared" si="35"/>
        <v>6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2"/>
      <c r="N37" s="143"/>
      <c r="O37" s="13">
        <f t="shared" si="2"/>
        <v>0</v>
      </c>
      <c r="P37" s="62"/>
      <c r="Q37" s="143"/>
      <c r="R37" s="30">
        <f t="shared" si="3"/>
        <v>0</v>
      </c>
      <c r="S37" s="62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1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62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2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2"/>
      <c r="N38" s="143"/>
      <c r="O38" s="13">
        <f t="shared" si="2"/>
        <v>0</v>
      </c>
      <c r="P38" s="62"/>
      <c r="Q38" s="143"/>
      <c r="R38" s="30">
        <f t="shared" si="3"/>
        <v>0</v>
      </c>
      <c r="S38" s="62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1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62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9</v>
      </c>
      <c r="G39" s="62">
        <f>-14+10+30</f>
        <v>26</v>
      </c>
      <c r="H39" s="143">
        <f>2+7+10</f>
        <v>19</v>
      </c>
      <c r="I39" s="13">
        <f t="shared" si="0"/>
        <v>16</v>
      </c>
      <c r="J39" s="62"/>
      <c r="K39" s="143"/>
      <c r="L39" s="13">
        <f t="shared" si="1"/>
        <v>16</v>
      </c>
      <c r="M39" s="62">
        <v>10</v>
      </c>
      <c r="N39" s="143">
        <f>2+7</f>
        <v>9</v>
      </c>
      <c r="O39" s="13">
        <f t="shared" si="2"/>
        <v>17</v>
      </c>
      <c r="P39" s="62">
        <v>10</v>
      </c>
      <c r="Q39" s="143">
        <f>1+14</f>
        <v>15</v>
      </c>
      <c r="R39" s="30">
        <f t="shared" si="3"/>
        <v>12</v>
      </c>
      <c r="S39" s="62"/>
      <c r="T39" s="143"/>
      <c r="U39" s="13">
        <f t="shared" si="4"/>
        <v>12</v>
      </c>
      <c r="V39" s="62">
        <v>10</v>
      </c>
      <c r="W39" s="143">
        <f>1+6</f>
        <v>7</v>
      </c>
      <c r="X39" s="13">
        <f t="shared" si="5"/>
        <v>15</v>
      </c>
      <c r="Y39" s="62">
        <v>10</v>
      </c>
      <c r="Z39" s="143">
        <f>2</f>
        <v>2</v>
      </c>
      <c r="AA39" s="13">
        <f t="shared" si="27"/>
        <v>23</v>
      </c>
      <c r="AB39" s="62">
        <v>10</v>
      </c>
      <c r="AC39" s="143">
        <f>11+9</f>
        <v>20</v>
      </c>
      <c r="AD39" s="13">
        <f t="shared" si="28"/>
        <v>13</v>
      </c>
      <c r="AE39" s="62"/>
      <c r="AF39" s="143"/>
      <c r="AG39" s="13">
        <f t="shared" si="29"/>
        <v>13</v>
      </c>
      <c r="AH39" s="62">
        <v>30</v>
      </c>
      <c r="AI39" s="143">
        <f>1+11</f>
        <v>12</v>
      </c>
      <c r="AJ39" s="13">
        <f t="shared" si="30"/>
        <v>31</v>
      </c>
      <c r="AK39" s="61"/>
      <c r="AL39" s="143">
        <f>1+12</f>
        <v>13</v>
      </c>
      <c r="AM39" s="13">
        <f t="shared" si="6"/>
        <v>18</v>
      </c>
      <c r="AN39" s="62"/>
      <c r="AO39" s="143"/>
      <c r="AP39" s="13">
        <f t="shared" si="7"/>
        <v>18</v>
      </c>
      <c r="AQ39" s="62"/>
      <c r="AR39" s="143">
        <f>4+2+1</f>
        <v>7</v>
      </c>
      <c r="AS39" s="13">
        <f t="shared" si="8"/>
        <v>11</v>
      </c>
      <c r="AT39" s="62">
        <f>10+10-10</f>
        <v>10</v>
      </c>
      <c r="AU39" s="143">
        <f>1+10</f>
        <v>11</v>
      </c>
      <c r="AV39" s="13">
        <f t="shared" si="9"/>
        <v>10</v>
      </c>
      <c r="AW39" s="62">
        <f>-8+20</f>
        <v>12</v>
      </c>
      <c r="AX39" s="143">
        <f>1+9+10</f>
        <v>20</v>
      </c>
      <c r="AY39" s="13">
        <f t="shared" si="10"/>
        <v>2</v>
      </c>
      <c r="AZ39" s="62"/>
      <c r="BA39" s="143"/>
      <c r="BB39" s="13">
        <f t="shared" si="11"/>
        <v>2</v>
      </c>
      <c r="BC39" s="62">
        <f>-1+30</f>
        <v>29</v>
      </c>
      <c r="BD39" s="143">
        <f>1</f>
        <v>1</v>
      </c>
      <c r="BE39" s="13">
        <f t="shared" si="12"/>
        <v>30</v>
      </c>
      <c r="BF39" s="62"/>
      <c r="BG39" s="143">
        <f>1+9</f>
        <v>10</v>
      </c>
      <c r="BH39" s="13">
        <f t="shared" si="13"/>
        <v>20</v>
      </c>
      <c r="BI39" s="62"/>
      <c r="BJ39" s="143"/>
      <c r="BK39" s="13">
        <f t="shared" si="14"/>
        <v>20</v>
      </c>
      <c r="BL39" s="62"/>
      <c r="BM39" s="143">
        <f>2</f>
        <v>2</v>
      </c>
      <c r="BN39" s="13">
        <f t="shared" si="15"/>
        <v>18</v>
      </c>
      <c r="BO39" s="62">
        <v>10</v>
      </c>
      <c r="BP39" s="143">
        <f>1+4</f>
        <v>5</v>
      </c>
      <c r="BQ39" s="13">
        <f t="shared" si="16"/>
        <v>23</v>
      </c>
      <c r="BR39" s="62">
        <v>10</v>
      </c>
      <c r="BS39" s="143">
        <f>2+9+9</f>
        <v>20</v>
      </c>
      <c r="BT39" s="13">
        <f t="shared" si="17"/>
        <v>13</v>
      </c>
      <c r="BU39" s="62"/>
      <c r="BV39" s="143"/>
      <c r="BW39" s="13">
        <f t="shared" si="18"/>
        <v>13</v>
      </c>
      <c r="BX39" s="62"/>
      <c r="BY39" s="143">
        <f>1+4</f>
        <v>5</v>
      </c>
      <c r="BZ39" s="13">
        <f t="shared" si="19"/>
        <v>8</v>
      </c>
      <c r="CA39" s="62">
        <f>-14+10+20</f>
        <v>16</v>
      </c>
      <c r="CB39" s="143">
        <f>2+1+5+4</f>
        <v>12</v>
      </c>
      <c r="CC39" s="13">
        <f t="shared" si="20"/>
        <v>12</v>
      </c>
      <c r="CD39" s="62"/>
      <c r="CE39" s="143"/>
      <c r="CF39" s="13">
        <f t="shared" si="21"/>
        <v>12</v>
      </c>
      <c r="CG39" s="62"/>
      <c r="CH39" s="143">
        <v>6</v>
      </c>
      <c r="CI39" s="13">
        <f t="shared" si="31"/>
        <v>6</v>
      </c>
      <c r="CJ39" s="62">
        <f>-3+10</f>
        <v>7</v>
      </c>
      <c r="CK39" s="143">
        <v>6</v>
      </c>
      <c r="CL39" s="13">
        <f t="shared" si="32"/>
        <v>7</v>
      </c>
      <c r="CM39" s="62"/>
      <c r="CN39" s="143"/>
      <c r="CO39" s="13">
        <f t="shared" si="22"/>
        <v>7</v>
      </c>
      <c r="CP39" s="62"/>
      <c r="CQ39" s="143"/>
      <c r="CR39" s="13">
        <f t="shared" si="33"/>
        <v>7</v>
      </c>
      <c r="CS39" s="62"/>
      <c r="CT39" s="143"/>
      <c r="CU39" s="14">
        <f t="shared" si="23"/>
        <v>7</v>
      </c>
      <c r="CV39" s="5">
        <f t="shared" si="36"/>
        <v>200</v>
      </c>
      <c r="CW39" s="4">
        <f t="shared" si="36"/>
        <v>202</v>
      </c>
      <c r="CX39" s="6">
        <f t="shared" si="25"/>
        <v>7</v>
      </c>
      <c r="CY39" s="162">
        <v>140</v>
      </c>
      <c r="CZ39" s="171">
        <f t="shared" si="26"/>
        <v>980</v>
      </c>
      <c r="DB39" s="2">
        <f t="shared" si="34"/>
        <v>7</v>
      </c>
      <c r="DC39" s="61"/>
      <c r="DD39" s="143"/>
      <c r="DE39" s="149">
        <f t="shared" si="35"/>
        <v>7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6.1999999999999842</v>
      </c>
      <c r="G40" s="62">
        <f>1+20</f>
        <v>21</v>
      </c>
      <c r="H40" s="143">
        <f>1.5+2+1+0.9+0.5+2.8+2.2+1+2.3+1.2+2.1+1.1</f>
        <v>18.600000000000001</v>
      </c>
      <c r="I40" s="13">
        <f t="shared" si="0"/>
        <v>8.5999999999999837</v>
      </c>
      <c r="J40" s="62"/>
      <c r="K40" s="143"/>
      <c r="L40" s="13">
        <f t="shared" si="1"/>
        <v>8.5999999999999837</v>
      </c>
      <c r="M40" s="62">
        <v>30</v>
      </c>
      <c r="N40" s="143">
        <f>2.6+0.9+1.5+1.9+1.4+1.4+1.2+3.5</f>
        <v>14.4</v>
      </c>
      <c r="O40" s="13">
        <f t="shared" si="2"/>
        <v>24.199999999999982</v>
      </c>
      <c r="P40" s="62">
        <v>20</v>
      </c>
      <c r="Q40" s="143">
        <f>1+1.3+1+2.3+0.7+0.9+0.9-0.6+5+1.7+1+1+1.4+0.7+1</f>
        <v>19.299999999999997</v>
      </c>
      <c r="R40" s="30">
        <f t="shared" si="3"/>
        <v>24.899999999999984</v>
      </c>
      <c r="S40" s="62"/>
      <c r="T40" s="143"/>
      <c r="U40" s="13">
        <f t="shared" si="4"/>
        <v>24.899999999999984</v>
      </c>
      <c r="V40" s="62">
        <v>10</v>
      </c>
      <c r="W40" s="143">
        <f>1.9+0.3+0.4+0.2+0.3+0.3+0.5+3.1</f>
        <v>7</v>
      </c>
      <c r="X40" s="13">
        <f t="shared" si="5"/>
        <v>27.899999999999984</v>
      </c>
      <c r="Y40" s="62"/>
      <c r="Z40" s="143">
        <f>1.6+0.6</f>
        <v>2.2000000000000002</v>
      </c>
      <c r="AA40" s="13">
        <f t="shared" si="27"/>
        <v>25.699999999999985</v>
      </c>
      <c r="AB40" s="62"/>
      <c r="AC40" s="143">
        <f>1.7+1.1+0.5+0.6+1.2+1.2</f>
        <v>6.3</v>
      </c>
      <c r="AD40" s="13">
        <f t="shared" si="28"/>
        <v>19.399999999999984</v>
      </c>
      <c r="AE40" s="62"/>
      <c r="AF40" s="143"/>
      <c r="AG40" s="13">
        <f t="shared" si="29"/>
        <v>19.399999999999984</v>
      </c>
      <c r="AH40" s="62">
        <v>20</v>
      </c>
      <c r="AI40" s="143">
        <f>0.9+1.3+1+0.9+0.6+1.3+1.1+0.6+0.6+2.5</f>
        <v>10.799999999999999</v>
      </c>
      <c r="AJ40" s="13">
        <f t="shared" si="30"/>
        <v>28.599999999999987</v>
      </c>
      <c r="AK40" s="61"/>
      <c r="AL40" s="143">
        <f>1.8+2.6+1.5+0.8+1.9+2.2+1.5+2.2</f>
        <v>14.5</v>
      </c>
      <c r="AM40" s="13">
        <f t="shared" si="6"/>
        <v>14.099999999999987</v>
      </c>
      <c r="AN40" s="62"/>
      <c r="AO40" s="143"/>
      <c r="AP40" s="13">
        <f t="shared" si="7"/>
        <v>14.099999999999987</v>
      </c>
      <c r="AQ40" s="62">
        <v>20</v>
      </c>
      <c r="AR40" s="143">
        <f>1+1.3+0.4+0.3+0.2+0.2+0.2+0.2+0.3+1.1</f>
        <v>5.2000000000000011</v>
      </c>
      <c r="AS40" s="13">
        <f t="shared" si="8"/>
        <v>28.899999999999984</v>
      </c>
      <c r="AT40" s="62"/>
      <c r="AU40" s="143">
        <f>1.1+2.3</f>
        <v>3.4</v>
      </c>
      <c r="AV40" s="13">
        <f t="shared" si="9"/>
        <v>25.499999999999986</v>
      </c>
      <c r="AW40" s="62">
        <v>20</v>
      </c>
      <c r="AX40" s="143">
        <f>1.2+1.3+0.9+0.9+1.4+0.9+1.6+1.8+0.9+0.9+1.2+1.7</f>
        <v>14.7</v>
      </c>
      <c r="AY40" s="13">
        <f t="shared" si="10"/>
        <v>30.799999999999986</v>
      </c>
      <c r="AZ40" s="62"/>
      <c r="BA40" s="143"/>
      <c r="BB40" s="13">
        <f t="shared" si="11"/>
        <v>30.799999999999986</v>
      </c>
      <c r="BC40" s="62">
        <v>10</v>
      </c>
      <c r="BD40" s="143">
        <f>2.6+0.9+1.4+2.2+1.4+1.5+0.6+3.5</f>
        <v>14.1</v>
      </c>
      <c r="BE40" s="13">
        <f t="shared" si="12"/>
        <v>26.699999999999982</v>
      </c>
      <c r="BF40" s="62">
        <v>20</v>
      </c>
      <c r="BG40" s="143">
        <f>0.9+1.3+0.9+2.3+1.4+0.7+0.5+5.2+2.6+0.7+1.3+1.6+1.8+0.7+1.2</f>
        <v>23.1</v>
      </c>
      <c r="BH40" s="13">
        <f t="shared" si="13"/>
        <v>23.59999999999998</v>
      </c>
      <c r="BI40" s="62"/>
      <c r="BJ40" s="143"/>
      <c r="BK40" s="13">
        <f t="shared" si="14"/>
        <v>23.59999999999998</v>
      </c>
      <c r="BL40" s="62"/>
      <c r="BM40" s="143">
        <f>1.9+0.3+0.2+0.2+0.3+0.3+1</f>
        <v>4.1999999999999993</v>
      </c>
      <c r="BN40" s="13">
        <f t="shared" si="15"/>
        <v>19.399999999999981</v>
      </c>
      <c r="BO40" s="62">
        <v>20</v>
      </c>
      <c r="BP40" s="143">
        <f>0.6+1.3</f>
        <v>1.9</v>
      </c>
      <c r="BQ40" s="13">
        <f t="shared" si="16"/>
        <v>37.499999999999979</v>
      </c>
      <c r="BR40" s="62">
        <v>20</v>
      </c>
      <c r="BS40" s="143">
        <f>1+0.9+0.6+1+1.4+1.1+0.7+1.2+0.9+0.7+1.4+1+4.2+2</f>
        <v>18.100000000000001</v>
      </c>
      <c r="BT40" s="13">
        <f t="shared" si="17"/>
        <v>39.399999999999977</v>
      </c>
      <c r="BU40" s="62"/>
      <c r="BV40" s="143"/>
      <c r="BW40" s="13">
        <f t="shared" si="18"/>
        <v>39.399999999999977</v>
      </c>
      <c r="BX40" s="62"/>
      <c r="BY40" s="143"/>
      <c r="BZ40" s="13">
        <f t="shared" si="19"/>
        <v>39.399999999999977</v>
      </c>
      <c r="CA40" s="62"/>
      <c r="CB40" s="143">
        <f>1.3+2+0.6+1+1.3+0.9+0.4+2.9+1.8+1.7+1+0.7+1.6+2.8</f>
        <v>20</v>
      </c>
      <c r="CC40" s="13">
        <f t="shared" si="20"/>
        <v>19.399999999999977</v>
      </c>
      <c r="CD40" s="62"/>
      <c r="CE40" s="143"/>
      <c r="CF40" s="13">
        <f t="shared" si="21"/>
        <v>19.399999999999977</v>
      </c>
      <c r="CG40" s="62"/>
      <c r="CH40" s="143">
        <f>1.9+1+0.6+0.3+0.3+0.5+4</f>
        <v>8.6</v>
      </c>
      <c r="CI40" s="13">
        <f t="shared" si="31"/>
        <v>10.799999999999978</v>
      </c>
      <c r="CJ40" s="62"/>
      <c r="CK40" s="143"/>
      <c r="CL40" s="13">
        <f t="shared" si="32"/>
        <v>10.799999999999978</v>
      </c>
      <c r="CM40" s="62"/>
      <c r="CN40" s="143"/>
      <c r="CO40" s="13">
        <f t="shared" si="22"/>
        <v>10.799999999999978</v>
      </c>
      <c r="CP40" s="62"/>
      <c r="CQ40" s="143"/>
      <c r="CR40" s="13">
        <f t="shared" si="33"/>
        <v>10.799999999999978</v>
      </c>
      <c r="CS40" s="62"/>
      <c r="CT40" s="143"/>
      <c r="CU40" s="14">
        <f t="shared" si="23"/>
        <v>10.799999999999978</v>
      </c>
      <c r="CV40" s="5">
        <f t="shared" si="36"/>
        <v>211</v>
      </c>
      <c r="CW40" s="4">
        <f t="shared" si="36"/>
        <v>206.39999999999998</v>
      </c>
      <c r="CX40" s="6">
        <f t="shared" si="25"/>
        <v>10.799999999999978</v>
      </c>
      <c r="CY40" s="162">
        <v>270</v>
      </c>
      <c r="CZ40" s="171">
        <f t="shared" si="26"/>
        <v>2915.9999999999941</v>
      </c>
      <c r="DB40" s="2">
        <f t="shared" si="34"/>
        <v>10.799999999999978</v>
      </c>
      <c r="DC40" s="62"/>
      <c r="DD40" s="143">
        <f>0.2+0.2+0.2+1.8+1.2+1</f>
        <v>4.6000000000000005</v>
      </c>
      <c r="DE40" s="149">
        <f t="shared" si="35"/>
        <v>6.1999999999999771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2"/>
      <c r="N41" s="143"/>
      <c r="O41" s="13">
        <f t="shared" si="2"/>
        <v>0</v>
      </c>
      <c r="P41" s="62"/>
      <c r="Q41" s="143"/>
      <c r="R41" s="30">
        <f t="shared" si="3"/>
        <v>0</v>
      </c>
      <c r="S41" s="62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1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62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2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>
        <v>1</v>
      </c>
      <c r="H42" s="143"/>
      <c r="I42" s="13">
        <f t="shared" si="0"/>
        <v>1</v>
      </c>
      <c r="J42" s="62"/>
      <c r="K42" s="143"/>
      <c r="L42" s="13">
        <f t="shared" si="1"/>
        <v>1</v>
      </c>
      <c r="M42" s="62"/>
      <c r="N42" s="143"/>
      <c r="O42" s="13">
        <f t="shared" si="2"/>
        <v>1</v>
      </c>
      <c r="P42" s="62"/>
      <c r="Q42" s="143"/>
      <c r="R42" s="30">
        <f t="shared" si="3"/>
        <v>1</v>
      </c>
      <c r="S42" s="62"/>
      <c r="T42" s="143"/>
      <c r="U42" s="13">
        <f t="shared" si="4"/>
        <v>1</v>
      </c>
      <c r="V42" s="62">
        <v>1</v>
      </c>
      <c r="W42" s="143">
        <v>1</v>
      </c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1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>
        <v>1</v>
      </c>
      <c r="AR42" s="143">
        <v>1</v>
      </c>
      <c r="AS42" s="13">
        <f t="shared" si="8"/>
        <v>1</v>
      </c>
      <c r="AT42" s="62"/>
      <c r="AU42" s="143"/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62"/>
      <c r="BJ42" s="143"/>
      <c r="BK42" s="13">
        <f t="shared" si="14"/>
        <v>1</v>
      </c>
      <c r="BL42" s="62">
        <v>1</v>
      </c>
      <c r="BM42" s="143">
        <v>1</v>
      </c>
      <c r="BN42" s="13">
        <f t="shared" si="15"/>
        <v>1</v>
      </c>
      <c r="BO42" s="62"/>
      <c r="BP42" s="143"/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>
        <v>1</v>
      </c>
      <c r="CI42" s="13">
        <f t="shared" si="31"/>
        <v>0</v>
      </c>
      <c r="CJ42" s="62"/>
      <c r="CK42" s="143"/>
      <c r="CL42" s="13">
        <f t="shared" si="32"/>
        <v>0</v>
      </c>
      <c r="CM42" s="62"/>
      <c r="CN42" s="143"/>
      <c r="CO42" s="13">
        <f t="shared" si="22"/>
        <v>0</v>
      </c>
      <c r="CP42" s="62"/>
      <c r="CQ42" s="143"/>
      <c r="CR42" s="13">
        <f t="shared" si="33"/>
        <v>0</v>
      </c>
      <c r="CS42" s="62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>
        <v>2</v>
      </c>
      <c r="H43" s="143">
        <f>1+1</f>
        <v>2</v>
      </c>
      <c r="I43" s="13">
        <f t="shared" si="0"/>
        <v>0</v>
      </c>
      <c r="J43" s="62"/>
      <c r="K43" s="143"/>
      <c r="L43" s="13">
        <f t="shared" si="1"/>
        <v>0</v>
      </c>
      <c r="M43" s="62">
        <v>4</v>
      </c>
      <c r="N43" s="143">
        <f>1+1+1.5</f>
        <v>3.5</v>
      </c>
      <c r="O43" s="13">
        <f t="shared" si="2"/>
        <v>0.5</v>
      </c>
      <c r="P43" s="62">
        <v>3</v>
      </c>
      <c r="Q43" s="143">
        <f>1+1+0.5+1</f>
        <v>3.5</v>
      </c>
      <c r="R43" s="30">
        <f t="shared" si="3"/>
        <v>0</v>
      </c>
      <c r="S43" s="62"/>
      <c r="T43" s="143"/>
      <c r="U43" s="13">
        <f t="shared" si="4"/>
        <v>0</v>
      </c>
      <c r="V43" s="62">
        <v>1</v>
      </c>
      <c r="W43" s="143">
        <f>0.5</f>
        <v>0.5</v>
      </c>
      <c r="X43" s="13">
        <f t="shared" si="5"/>
        <v>0.5</v>
      </c>
      <c r="Y43" s="62">
        <v>1</v>
      </c>
      <c r="Z43" s="143">
        <f>0.5</f>
        <v>0.5</v>
      </c>
      <c r="AA43" s="13">
        <f t="shared" si="27"/>
        <v>1</v>
      </c>
      <c r="AB43" s="62">
        <v>1</v>
      </c>
      <c r="AC43" s="143">
        <f>0.5+0.5</f>
        <v>1</v>
      </c>
      <c r="AD43" s="13">
        <f t="shared" si="28"/>
        <v>1</v>
      </c>
      <c r="AE43" s="62"/>
      <c r="AF43" s="143"/>
      <c r="AG43" s="13">
        <f t="shared" si="29"/>
        <v>1</v>
      </c>
      <c r="AH43" s="62">
        <v>3</v>
      </c>
      <c r="AI43" s="143">
        <f>0.5+1</f>
        <v>1.5</v>
      </c>
      <c r="AJ43" s="13">
        <f t="shared" si="30"/>
        <v>2.5</v>
      </c>
      <c r="AK43" s="61"/>
      <c r="AL43" s="143">
        <f>1+0.5+0.5</f>
        <v>2</v>
      </c>
      <c r="AM43" s="13">
        <f t="shared" si="6"/>
        <v>0.5</v>
      </c>
      <c r="AN43" s="62"/>
      <c r="AO43" s="143"/>
      <c r="AP43" s="13">
        <f t="shared" si="7"/>
        <v>0.5</v>
      </c>
      <c r="AQ43" s="62"/>
      <c r="AR43" s="143"/>
      <c r="AS43" s="13">
        <f t="shared" si="8"/>
        <v>0.5</v>
      </c>
      <c r="AT43" s="62">
        <v>4</v>
      </c>
      <c r="AU43" s="143">
        <v>2</v>
      </c>
      <c r="AV43" s="13">
        <f t="shared" si="9"/>
        <v>2.5</v>
      </c>
      <c r="AW43" s="62"/>
      <c r="AX43" s="143">
        <f>1+1</f>
        <v>2</v>
      </c>
      <c r="AY43" s="13">
        <f t="shared" si="10"/>
        <v>0.5</v>
      </c>
      <c r="AZ43" s="62"/>
      <c r="BA43" s="143"/>
      <c r="BB43" s="13">
        <f t="shared" si="11"/>
        <v>0.5</v>
      </c>
      <c r="BC43" s="62">
        <v>2</v>
      </c>
      <c r="BD43" s="143">
        <f>0.5+1+1</f>
        <v>2.5</v>
      </c>
      <c r="BE43" s="13">
        <f t="shared" si="12"/>
        <v>0</v>
      </c>
      <c r="BF43" s="62">
        <v>2</v>
      </c>
      <c r="BG43" s="143">
        <f>1+1</f>
        <v>2</v>
      </c>
      <c r="BH43" s="13">
        <f t="shared" si="13"/>
        <v>0</v>
      </c>
      <c r="BI43" s="62"/>
      <c r="BJ43" s="143"/>
      <c r="BK43" s="13">
        <f t="shared" si="14"/>
        <v>0</v>
      </c>
      <c r="BL43" s="62">
        <v>1</v>
      </c>
      <c r="BM43" s="143">
        <v>0.5</v>
      </c>
      <c r="BN43" s="13">
        <f t="shared" si="15"/>
        <v>0.5</v>
      </c>
      <c r="BO43" s="62">
        <v>1</v>
      </c>
      <c r="BP43" s="143">
        <f>1</f>
        <v>1</v>
      </c>
      <c r="BQ43" s="13">
        <f t="shared" si="16"/>
        <v>0.5</v>
      </c>
      <c r="BR43" s="62">
        <v>1</v>
      </c>
      <c r="BS43" s="143">
        <f>0.5+0.5+0.5</f>
        <v>1.5</v>
      </c>
      <c r="BT43" s="13">
        <f t="shared" si="17"/>
        <v>0</v>
      </c>
      <c r="BU43" s="62"/>
      <c r="BV43" s="143"/>
      <c r="BW43" s="13">
        <f t="shared" si="18"/>
        <v>0</v>
      </c>
      <c r="BX43" s="62"/>
      <c r="BY43" s="143"/>
      <c r="BZ43" s="13">
        <f t="shared" si="19"/>
        <v>0</v>
      </c>
      <c r="CA43" s="62">
        <v>5</v>
      </c>
      <c r="CB43" s="143">
        <f>1+0.5+0.5+1+0.5</f>
        <v>3.5</v>
      </c>
      <c r="CC43" s="13">
        <f t="shared" si="20"/>
        <v>1.5</v>
      </c>
      <c r="CD43" s="62"/>
      <c r="CE43" s="143"/>
      <c r="CF43" s="13">
        <f t="shared" si="21"/>
        <v>1.5</v>
      </c>
      <c r="CG43" s="62"/>
      <c r="CH43" s="143">
        <v>1</v>
      </c>
      <c r="CI43" s="13">
        <f t="shared" si="31"/>
        <v>0.5</v>
      </c>
      <c r="CJ43" s="62"/>
      <c r="CK43" s="143"/>
      <c r="CL43" s="13">
        <f t="shared" si="32"/>
        <v>0.5</v>
      </c>
      <c r="CM43" s="62"/>
      <c r="CN43" s="143"/>
      <c r="CO43" s="13">
        <f t="shared" si="22"/>
        <v>0.5</v>
      </c>
      <c r="CP43" s="62"/>
      <c r="CQ43" s="143"/>
      <c r="CR43" s="13">
        <f t="shared" si="33"/>
        <v>0.5</v>
      </c>
      <c r="CS43" s="62"/>
      <c r="CT43" s="143"/>
      <c r="CU43" s="14">
        <f t="shared" si="23"/>
        <v>0.5</v>
      </c>
      <c r="CV43" s="5">
        <f t="shared" si="36"/>
        <v>31</v>
      </c>
      <c r="CW43" s="4">
        <f t="shared" si="36"/>
        <v>30.5</v>
      </c>
      <c r="CX43" s="6">
        <f t="shared" si="25"/>
        <v>0.5</v>
      </c>
      <c r="CY43" s="162">
        <v>650</v>
      </c>
      <c r="CZ43" s="171">
        <f t="shared" si="26"/>
        <v>325</v>
      </c>
      <c r="DB43" s="2">
        <f t="shared" si="34"/>
        <v>0.5</v>
      </c>
      <c r="DC43" s="62"/>
      <c r="DD43" s="143"/>
      <c r="DE43" s="149">
        <f t="shared" si="35"/>
        <v>0.5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3</v>
      </c>
      <c r="G44" s="62"/>
      <c r="H44" s="143"/>
      <c r="I44" s="13">
        <f t="shared" si="0"/>
        <v>3</v>
      </c>
      <c r="J44" s="62"/>
      <c r="K44" s="143"/>
      <c r="L44" s="13">
        <f t="shared" si="1"/>
        <v>3</v>
      </c>
      <c r="M44" s="62"/>
      <c r="N44" s="143"/>
      <c r="O44" s="13">
        <f t="shared" si="2"/>
        <v>3</v>
      </c>
      <c r="P44" s="62"/>
      <c r="Q44" s="143"/>
      <c r="R44" s="30">
        <f t="shared" si="3"/>
        <v>3</v>
      </c>
      <c r="S44" s="62"/>
      <c r="T44" s="143"/>
      <c r="U44" s="13">
        <f t="shared" si="4"/>
        <v>3</v>
      </c>
      <c r="V44" s="62"/>
      <c r="W44" s="143"/>
      <c r="X44" s="13">
        <f t="shared" si="5"/>
        <v>3</v>
      </c>
      <c r="Y44" s="62"/>
      <c r="Z44" s="143"/>
      <c r="AA44" s="13">
        <f t="shared" si="27"/>
        <v>3</v>
      </c>
      <c r="AB44" s="62"/>
      <c r="AC44" s="143"/>
      <c r="AD44" s="13">
        <f t="shared" si="28"/>
        <v>3</v>
      </c>
      <c r="AE44" s="62"/>
      <c r="AF44" s="143"/>
      <c r="AG44" s="13">
        <f t="shared" si="29"/>
        <v>3</v>
      </c>
      <c r="AH44" s="62"/>
      <c r="AI44" s="143"/>
      <c r="AJ44" s="13">
        <f t="shared" si="30"/>
        <v>3</v>
      </c>
      <c r="AK44" s="61"/>
      <c r="AL44" s="143"/>
      <c r="AM44" s="13">
        <f t="shared" si="6"/>
        <v>3</v>
      </c>
      <c r="AN44" s="62"/>
      <c r="AO44" s="143"/>
      <c r="AP44" s="13">
        <f t="shared" si="7"/>
        <v>3</v>
      </c>
      <c r="AQ44" s="62"/>
      <c r="AR44" s="143"/>
      <c r="AS44" s="13">
        <f t="shared" si="8"/>
        <v>3</v>
      </c>
      <c r="AT44" s="62"/>
      <c r="AU44" s="143"/>
      <c r="AV44" s="13">
        <f t="shared" si="9"/>
        <v>3</v>
      </c>
      <c r="AW44" s="62"/>
      <c r="AX44" s="143"/>
      <c r="AY44" s="13">
        <f t="shared" si="10"/>
        <v>3</v>
      </c>
      <c r="AZ44" s="62"/>
      <c r="BA44" s="143"/>
      <c r="BB44" s="13">
        <f t="shared" si="11"/>
        <v>3</v>
      </c>
      <c r="BC44" s="62"/>
      <c r="BD44" s="143"/>
      <c r="BE44" s="13">
        <f t="shared" si="12"/>
        <v>3</v>
      </c>
      <c r="BF44" s="62"/>
      <c r="BG44" s="143"/>
      <c r="BH44" s="13">
        <f t="shared" si="13"/>
        <v>3</v>
      </c>
      <c r="BI44" s="62"/>
      <c r="BJ44" s="143"/>
      <c r="BK44" s="13">
        <f t="shared" si="14"/>
        <v>3</v>
      </c>
      <c r="BL44" s="62"/>
      <c r="BM44" s="143"/>
      <c r="BN44" s="13">
        <f t="shared" si="15"/>
        <v>3</v>
      </c>
      <c r="BO44" s="62"/>
      <c r="BP44" s="143"/>
      <c r="BQ44" s="13">
        <f t="shared" si="16"/>
        <v>3</v>
      </c>
      <c r="BR44" s="62"/>
      <c r="BS44" s="143"/>
      <c r="BT44" s="13">
        <f t="shared" si="17"/>
        <v>3</v>
      </c>
      <c r="BU44" s="62"/>
      <c r="BV44" s="143"/>
      <c r="BW44" s="13">
        <f t="shared" si="18"/>
        <v>3</v>
      </c>
      <c r="BX44" s="62"/>
      <c r="BY44" s="143"/>
      <c r="BZ44" s="13">
        <f t="shared" si="19"/>
        <v>3</v>
      </c>
      <c r="CA44" s="62"/>
      <c r="CB44" s="143">
        <v>2</v>
      </c>
      <c r="CC44" s="13">
        <f t="shared" si="20"/>
        <v>1</v>
      </c>
      <c r="CD44" s="62"/>
      <c r="CE44" s="143"/>
      <c r="CF44" s="13">
        <f t="shared" si="21"/>
        <v>1</v>
      </c>
      <c r="CG44" s="62"/>
      <c r="CH44" s="143"/>
      <c r="CI44" s="13">
        <f t="shared" si="31"/>
        <v>1</v>
      </c>
      <c r="CJ44" s="62"/>
      <c r="CK44" s="143"/>
      <c r="CL44" s="13">
        <f t="shared" si="32"/>
        <v>1</v>
      </c>
      <c r="CM44" s="62"/>
      <c r="CN44" s="143"/>
      <c r="CO44" s="13">
        <f t="shared" si="22"/>
        <v>1</v>
      </c>
      <c r="CP44" s="62"/>
      <c r="CQ44" s="143"/>
      <c r="CR44" s="13">
        <f t="shared" si="33"/>
        <v>1</v>
      </c>
      <c r="CS44" s="62"/>
      <c r="CT44" s="143"/>
      <c r="CU44" s="14">
        <f t="shared" si="23"/>
        <v>1</v>
      </c>
      <c r="CV44" s="5">
        <f t="shared" si="36"/>
        <v>0</v>
      </c>
      <c r="CW44" s="4">
        <f t="shared" si="36"/>
        <v>2</v>
      </c>
      <c r="CX44" s="6">
        <f t="shared" si="25"/>
        <v>1</v>
      </c>
      <c r="CY44" s="162">
        <v>0</v>
      </c>
      <c r="CZ44" s="171">
        <f t="shared" si="26"/>
        <v>0</v>
      </c>
      <c r="DB44" s="2">
        <f t="shared" si="34"/>
        <v>1</v>
      </c>
      <c r="DC44" s="61"/>
      <c r="DD44" s="143"/>
      <c r="DE44" s="149">
        <f t="shared" si="35"/>
        <v>1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4</v>
      </c>
      <c r="G45" s="62">
        <f>-3+9</f>
        <v>6</v>
      </c>
      <c r="H45" s="143">
        <v>4</v>
      </c>
      <c r="I45" s="13">
        <f t="shared" si="0"/>
        <v>6</v>
      </c>
      <c r="J45" s="62"/>
      <c r="K45" s="143"/>
      <c r="L45" s="13">
        <f t="shared" si="1"/>
        <v>6</v>
      </c>
      <c r="M45" s="62">
        <v>4</v>
      </c>
      <c r="N45" s="143">
        <v>2</v>
      </c>
      <c r="O45" s="13">
        <f t="shared" si="2"/>
        <v>8</v>
      </c>
      <c r="P45" s="62">
        <v>2</v>
      </c>
      <c r="Q45" s="143">
        <v>4</v>
      </c>
      <c r="R45" s="30">
        <f t="shared" si="3"/>
        <v>6</v>
      </c>
      <c r="S45" s="62"/>
      <c r="T45" s="143"/>
      <c r="U45" s="13">
        <f t="shared" si="4"/>
        <v>6</v>
      </c>
      <c r="V45" s="62">
        <v>3</v>
      </c>
      <c r="W45" s="143">
        <v>3</v>
      </c>
      <c r="X45" s="13">
        <f t="shared" si="5"/>
        <v>6</v>
      </c>
      <c r="Y45" s="62">
        <v>4</v>
      </c>
      <c r="Z45" s="143">
        <v>2</v>
      </c>
      <c r="AA45" s="13">
        <f t="shared" si="27"/>
        <v>8</v>
      </c>
      <c r="AB45" s="62">
        <v>4</v>
      </c>
      <c r="AC45" s="143">
        <v>5</v>
      </c>
      <c r="AD45" s="13">
        <f t="shared" si="28"/>
        <v>7</v>
      </c>
      <c r="AE45" s="62"/>
      <c r="AF45" s="143"/>
      <c r="AG45" s="13">
        <f t="shared" si="29"/>
        <v>7</v>
      </c>
      <c r="AH45" s="62">
        <v>11</v>
      </c>
      <c r="AI45" s="143">
        <f>4+3</f>
        <v>7</v>
      </c>
      <c r="AJ45" s="13">
        <f t="shared" si="30"/>
        <v>11</v>
      </c>
      <c r="AK45" s="61"/>
      <c r="AL45" s="143">
        <v>4</v>
      </c>
      <c r="AM45" s="13">
        <f t="shared" si="6"/>
        <v>7</v>
      </c>
      <c r="AN45" s="62"/>
      <c r="AO45" s="143"/>
      <c r="AP45" s="13">
        <f t="shared" si="7"/>
        <v>7</v>
      </c>
      <c r="AQ45" s="62">
        <v>6</v>
      </c>
      <c r="AR45" s="143">
        <v>7</v>
      </c>
      <c r="AS45" s="13">
        <f t="shared" si="8"/>
        <v>6</v>
      </c>
      <c r="AT45" s="62">
        <v>3</v>
      </c>
      <c r="AU45" s="143">
        <v>1</v>
      </c>
      <c r="AV45" s="13">
        <f t="shared" si="9"/>
        <v>8</v>
      </c>
      <c r="AW45" s="62">
        <v>3</v>
      </c>
      <c r="AX45" s="143">
        <v>3</v>
      </c>
      <c r="AY45" s="13">
        <f t="shared" si="10"/>
        <v>8</v>
      </c>
      <c r="AZ45" s="62"/>
      <c r="BA45" s="143"/>
      <c r="BB45" s="13">
        <f t="shared" si="11"/>
        <v>8</v>
      </c>
      <c r="BC45" s="62">
        <v>5</v>
      </c>
      <c r="BD45" s="143">
        <v>5</v>
      </c>
      <c r="BE45" s="13">
        <f t="shared" si="12"/>
        <v>8</v>
      </c>
      <c r="BF45" s="62">
        <v>7</v>
      </c>
      <c r="BG45" s="143">
        <v>7</v>
      </c>
      <c r="BH45" s="13">
        <f t="shared" si="13"/>
        <v>8</v>
      </c>
      <c r="BI45" s="62"/>
      <c r="BJ45" s="143"/>
      <c r="BK45" s="13">
        <f t="shared" si="14"/>
        <v>8</v>
      </c>
      <c r="BL45" s="62"/>
      <c r="BM45" s="143">
        <v>2</v>
      </c>
      <c r="BN45" s="13">
        <f t="shared" si="15"/>
        <v>6</v>
      </c>
      <c r="BO45" s="62">
        <v>4</v>
      </c>
      <c r="BP45" s="143">
        <v>2</v>
      </c>
      <c r="BQ45" s="13">
        <f t="shared" si="16"/>
        <v>8</v>
      </c>
      <c r="BR45" s="62">
        <v>20</v>
      </c>
      <c r="BS45" s="143">
        <f>6+4+3+4+3</f>
        <v>20</v>
      </c>
      <c r="BT45" s="13">
        <f t="shared" si="17"/>
        <v>8</v>
      </c>
      <c r="BU45" s="62"/>
      <c r="BV45" s="143"/>
      <c r="BW45" s="13">
        <f t="shared" si="18"/>
        <v>8</v>
      </c>
      <c r="BX45" s="62"/>
      <c r="BY45" s="143">
        <v>2</v>
      </c>
      <c r="BZ45" s="13">
        <f t="shared" si="19"/>
        <v>6</v>
      </c>
      <c r="CA45" s="62"/>
      <c r="CB45" s="143">
        <v>2</v>
      </c>
      <c r="CC45" s="13">
        <f t="shared" si="20"/>
        <v>4</v>
      </c>
      <c r="CD45" s="62"/>
      <c r="CE45" s="143"/>
      <c r="CF45" s="13">
        <f t="shared" si="21"/>
        <v>4</v>
      </c>
      <c r="CG45" s="62"/>
      <c r="CH45" s="143"/>
      <c r="CI45" s="13">
        <f t="shared" si="31"/>
        <v>4</v>
      </c>
      <c r="CJ45" s="62"/>
      <c r="CK45" s="143">
        <v>1</v>
      </c>
      <c r="CL45" s="13">
        <f t="shared" si="32"/>
        <v>3</v>
      </c>
      <c r="CM45" s="62"/>
      <c r="CN45" s="143"/>
      <c r="CO45" s="13">
        <f t="shared" si="22"/>
        <v>3</v>
      </c>
      <c r="CP45" s="62"/>
      <c r="CQ45" s="143"/>
      <c r="CR45" s="13">
        <f t="shared" si="33"/>
        <v>3</v>
      </c>
      <c r="CS45" s="62"/>
      <c r="CT45" s="143"/>
      <c r="CU45" s="14">
        <f t="shared" si="23"/>
        <v>3</v>
      </c>
      <c r="CV45" s="5">
        <f t="shared" si="36"/>
        <v>82</v>
      </c>
      <c r="CW45" s="4">
        <f t="shared" si="36"/>
        <v>83</v>
      </c>
      <c r="CX45" s="6">
        <f t="shared" si="25"/>
        <v>3</v>
      </c>
      <c r="CY45" s="162">
        <v>250</v>
      </c>
      <c r="CZ45" s="171">
        <f t="shared" si="26"/>
        <v>750</v>
      </c>
      <c r="DB45" s="2">
        <f t="shared" si="34"/>
        <v>3</v>
      </c>
      <c r="DC45" s="62"/>
      <c r="DD45" s="143"/>
      <c r="DE45" s="149">
        <f t="shared" si="35"/>
        <v>3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4</v>
      </c>
      <c r="G46" s="176">
        <f>-3+9</f>
        <v>6</v>
      </c>
      <c r="H46" s="143">
        <v>4</v>
      </c>
      <c r="I46" s="13">
        <f t="shared" si="0"/>
        <v>6</v>
      </c>
      <c r="J46" s="176"/>
      <c r="K46" s="143"/>
      <c r="L46" s="13">
        <f t="shared" si="1"/>
        <v>6</v>
      </c>
      <c r="M46" s="176">
        <v>4</v>
      </c>
      <c r="N46" s="143">
        <v>2</v>
      </c>
      <c r="O46" s="13">
        <f t="shared" si="2"/>
        <v>8</v>
      </c>
      <c r="P46" s="176">
        <v>2</v>
      </c>
      <c r="Q46" s="143">
        <v>4</v>
      </c>
      <c r="R46" s="30">
        <f t="shared" si="3"/>
        <v>6</v>
      </c>
      <c r="S46" s="176"/>
      <c r="T46" s="143"/>
      <c r="U46" s="13">
        <f t="shared" si="4"/>
        <v>6</v>
      </c>
      <c r="V46" s="176">
        <v>3</v>
      </c>
      <c r="W46" s="143">
        <v>3</v>
      </c>
      <c r="X46" s="13">
        <f t="shared" si="5"/>
        <v>6</v>
      </c>
      <c r="Y46" s="176">
        <v>4</v>
      </c>
      <c r="Z46" s="143">
        <v>2</v>
      </c>
      <c r="AA46" s="13">
        <f t="shared" si="27"/>
        <v>8</v>
      </c>
      <c r="AB46" s="176">
        <v>4</v>
      </c>
      <c r="AC46" s="143">
        <v>5</v>
      </c>
      <c r="AD46" s="13">
        <f t="shared" si="28"/>
        <v>7</v>
      </c>
      <c r="AE46" s="176"/>
      <c r="AF46" s="143"/>
      <c r="AG46" s="13">
        <f t="shared" si="29"/>
        <v>7</v>
      </c>
      <c r="AH46" s="176">
        <v>7</v>
      </c>
      <c r="AI46" s="143">
        <v>4</v>
      </c>
      <c r="AJ46" s="13">
        <f t="shared" si="30"/>
        <v>10</v>
      </c>
      <c r="AK46" s="63"/>
      <c r="AL46" s="143">
        <v>4</v>
      </c>
      <c r="AM46" s="13">
        <f t="shared" si="6"/>
        <v>6</v>
      </c>
      <c r="AN46" s="176"/>
      <c r="AO46" s="143"/>
      <c r="AP46" s="13">
        <f t="shared" si="7"/>
        <v>6</v>
      </c>
      <c r="AQ46" s="176">
        <f>-1+7</f>
        <v>6</v>
      </c>
      <c r="AR46" s="143">
        <v>6</v>
      </c>
      <c r="AS46" s="13">
        <f t="shared" si="8"/>
        <v>6</v>
      </c>
      <c r="AT46" s="176">
        <v>3</v>
      </c>
      <c r="AU46" s="143">
        <v>1</v>
      </c>
      <c r="AV46" s="13">
        <f t="shared" si="9"/>
        <v>8</v>
      </c>
      <c r="AW46" s="176">
        <v>3</v>
      </c>
      <c r="AX46" s="143">
        <v>3</v>
      </c>
      <c r="AY46" s="13">
        <f t="shared" si="10"/>
        <v>8</v>
      </c>
      <c r="AZ46" s="176"/>
      <c r="BA46" s="143"/>
      <c r="BB46" s="13">
        <f t="shared" si="11"/>
        <v>8</v>
      </c>
      <c r="BC46" s="176">
        <v>5</v>
      </c>
      <c r="BD46" s="143">
        <v>5</v>
      </c>
      <c r="BE46" s="13">
        <f t="shared" si="12"/>
        <v>8</v>
      </c>
      <c r="BF46" s="176">
        <v>7</v>
      </c>
      <c r="BG46" s="143">
        <v>7</v>
      </c>
      <c r="BH46" s="13">
        <f t="shared" si="13"/>
        <v>8</v>
      </c>
      <c r="BI46" s="176"/>
      <c r="BJ46" s="143"/>
      <c r="BK46" s="13">
        <f t="shared" si="14"/>
        <v>8</v>
      </c>
      <c r="BL46" s="176"/>
      <c r="BM46" s="143">
        <v>2</v>
      </c>
      <c r="BN46" s="13">
        <f t="shared" si="15"/>
        <v>6</v>
      </c>
      <c r="BO46" s="176">
        <v>4</v>
      </c>
      <c r="BP46" s="143">
        <v>2</v>
      </c>
      <c r="BQ46" s="13">
        <f t="shared" si="16"/>
        <v>8</v>
      </c>
      <c r="BR46" s="176">
        <v>13</v>
      </c>
      <c r="BS46" s="143">
        <f>6+4+3</f>
        <v>13</v>
      </c>
      <c r="BT46" s="13">
        <f t="shared" si="17"/>
        <v>8</v>
      </c>
      <c r="BU46" s="176"/>
      <c r="BV46" s="143"/>
      <c r="BW46" s="13">
        <f t="shared" si="18"/>
        <v>8</v>
      </c>
      <c r="BX46" s="176"/>
      <c r="BY46" s="143">
        <v>2</v>
      </c>
      <c r="BZ46" s="13">
        <f t="shared" si="19"/>
        <v>6</v>
      </c>
      <c r="CA46" s="176"/>
      <c r="CB46" s="143">
        <v>2</v>
      </c>
      <c r="CC46" s="13">
        <f t="shared" si="20"/>
        <v>4</v>
      </c>
      <c r="CD46" s="176"/>
      <c r="CE46" s="143"/>
      <c r="CF46" s="13">
        <f t="shared" si="21"/>
        <v>4</v>
      </c>
      <c r="CG46" s="176"/>
      <c r="CH46" s="143"/>
      <c r="CI46" s="13">
        <f t="shared" si="31"/>
        <v>4</v>
      </c>
      <c r="CJ46" s="176"/>
      <c r="CK46" s="143">
        <v>1</v>
      </c>
      <c r="CL46" s="13">
        <f t="shared" si="32"/>
        <v>3</v>
      </c>
      <c r="CM46" s="176"/>
      <c r="CN46" s="143"/>
      <c r="CO46" s="13">
        <f t="shared" si="22"/>
        <v>3</v>
      </c>
      <c r="CP46" s="176"/>
      <c r="CQ46" s="143"/>
      <c r="CR46" s="13">
        <f t="shared" si="33"/>
        <v>3</v>
      </c>
      <c r="CS46" s="176"/>
      <c r="CT46" s="143"/>
      <c r="CU46" s="14">
        <f t="shared" si="23"/>
        <v>3</v>
      </c>
      <c r="CV46" s="5">
        <f t="shared" si="36"/>
        <v>71</v>
      </c>
      <c r="CW46" s="4">
        <f t="shared" si="36"/>
        <v>72</v>
      </c>
      <c r="CX46" s="6">
        <f t="shared" si="25"/>
        <v>3</v>
      </c>
      <c r="CY46" s="162">
        <v>250</v>
      </c>
      <c r="CZ46" s="171">
        <f t="shared" si="26"/>
        <v>750</v>
      </c>
      <c r="DB46" s="2">
        <f t="shared" si="34"/>
        <v>3</v>
      </c>
      <c r="DC46" s="63"/>
      <c r="DD46" s="143"/>
      <c r="DE46" s="149">
        <f t="shared" si="35"/>
        <v>3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176"/>
      <c r="N47" s="143"/>
      <c r="O47" s="13">
        <f t="shared" si="2"/>
        <v>0</v>
      </c>
      <c r="P47" s="176"/>
      <c r="Q47" s="143"/>
      <c r="R47" s="30">
        <f t="shared" si="3"/>
        <v>0</v>
      </c>
      <c r="S47" s="176"/>
      <c r="T47" s="143"/>
      <c r="U47" s="13">
        <f t="shared" si="4"/>
        <v>0</v>
      </c>
      <c r="V47" s="176">
        <v>1</v>
      </c>
      <c r="W47" s="143">
        <v>1</v>
      </c>
      <c r="X47" s="13">
        <f t="shared" si="5"/>
        <v>0</v>
      </c>
      <c r="Y47" s="176"/>
      <c r="Z47" s="143"/>
      <c r="AA47" s="13">
        <f t="shared" si="27"/>
        <v>0</v>
      </c>
      <c r="AB47" s="176"/>
      <c r="AC47" s="143"/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63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/>
      <c r="AU47" s="143"/>
      <c r="AV47" s="13">
        <f t="shared" si="9"/>
        <v>0</v>
      </c>
      <c r="AW47" s="176"/>
      <c r="AX47" s="143"/>
      <c r="AY47" s="13">
        <f t="shared" si="10"/>
        <v>0</v>
      </c>
      <c r="AZ47" s="176"/>
      <c r="BA47" s="143"/>
      <c r="BB47" s="13">
        <f t="shared" si="11"/>
        <v>0</v>
      </c>
      <c r="BC47" s="176"/>
      <c r="BD47" s="143"/>
      <c r="BE47" s="13">
        <f t="shared" si="12"/>
        <v>0</v>
      </c>
      <c r="BF47" s="176">
        <v>9</v>
      </c>
      <c r="BG47" s="143">
        <v>5</v>
      </c>
      <c r="BH47" s="13">
        <f t="shared" si="13"/>
        <v>4</v>
      </c>
      <c r="BI47" s="176"/>
      <c r="BJ47" s="143"/>
      <c r="BK47" s="13">
        <f t="shared" si="14"/>
        <v>4</v>
      </c>
      <c r="BL47" s="176"/>
      <c r="BM47" s="143">
        <v>4</v>
      </c>
      <c r="BN47" s="13">
        <f t="shared" si="15"/>
        <v>0</v>
      </c>
      <c r="BO47" s="176"/>
      <c r="BP47" s="143"/>
      <c r="BQ47" s="13">
        <f t="shared" si="16"/>
        <v>0</v>
      </c>
      <c r="BR47" s="176">
        <v>6</v>
      </c>
      <c r="BS47" s="143">
        <v>6</v>
      </c>
      <c r="BT47" s="13">
        <f t="shared" si="17"/>
        <v>0</v>
      </c>
      <c r="BU47" s="176"/>
      <c r="BV47" s="143"/>
      <c r="BW47" s="13">
        <f t="shared" si="18"/>
        <v>0</v>
      </c>
      <c r="BX47" s="176"/>
      <c r="BY47" s="143"/>
      <c r="BZ47" s="13">
        <f t="shared" si="19"/>
        <v>0</v>
      </c>
      <c r="CA47" s="176"/>
      <c r="CB47" s="143"/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176"/>
      <c r="CT47" s="143"/>
      <c r="CU47" s="14">
        <f t="shared" si="23"/>
        <v>0</v>
      </c>
      <c r="CV47" s="5">
        <f t="shared" si="36"/>
        <v>16</v>
      </c>
      <c r="CW47" s="4">
        <f t="shared" si="36"/>
        <v>16</v>
      </c>
      <c r="CX47" s="6">
        <f t="shared" si="25"/>
        <v>0</v>
      </c>
      <c r="CY47" s="162">
        <v>0</v>
      </c>
      <c r="CZ47" s="171">
        <f t="shared" si="26"/>
        <v>0</v>
      </c>
      <c r="DB47" s="2">
        <f t="shared" si="34"/>
        <v>0</v>
      </c>
      <c r="DC47" s="63"/>
      <c r="DD47" s="143"/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0.87</v>
      </c>
      <c r="G48" s="62">
        <v>4</v>
      </c>
      <c r="H48" s="143">
        <f>0.8+0.9</f>
        <v>1.7000000000000002</v>
      </c>
      <c r="I48" s="13">
        <f t="shared" si="0"/>
        <v>3.17</v>
      </c>
      <c r="J48" s="62"/>
      <c r="K48" s="143"/>
      <c r="L48" s="13">
        <f t="shared" si="1"/>
        <v>3.17</v>
      </c>
      <c r="M48" s="62"/>
      <c r="N48" s="143">
        <f>1</f>
        <v>1</v>
      </c>
      <c r="O48" s="13">
        <f t="shared" si="2"/>
        <v>2.17</v>
      </c>
      <c r="P48" s="62"/>
      <c r="Q48" s="143">
        <f>0.8</f>
        <v>0.8</v>
      </c>
      <c r="R48" s="30">
        <f t="shared" si="3"/>
        <v>1.3699999999999999</v>
      </c>
      <c r="S48" s="62"/>
      <c r="T48" s="143"/>
      <c r="U48" s="13">
        <f t="shared" si="4"/>
        <v>1.3699999999999999</v>
      </c>
      <c r="V48" s="62">
        <v>4</v>
      </c>
      <c r="W48" s="143">
        <f>0.7+0.1</f>
        <v>0.79999999999999993</v>
      </c>
      <c r="X48" s="13">
        <f t="shared" si="5"/>
        <v>4.57</v>
      </c>
      <c r="Y48" s="62"/>
      <c r="Z48" s="143">
        <f>0.5</f>
        <v>0.5</v>
      </c>
      <c r="AA48" s="13">
        <f t="shared" si="27"/>
        <v>4.07</v>
      </c>
      <c r="AB48" s="62"/>
      <c r="AC48" s="143">
        <f>0.9</f>
        <v>0.9</v>
      </c>
      <c r="AD48" s="13">
        <f t="shared" si="28"/>
        <v>3.1700000000000004</v>
      </c>
      <c r="AE48" s="62"/>
      <c r="AF48" s="143"/>
      <c r="AG48" s="13">
        <f t="shared" si="29"/>
        <v>3.1700000000000004</v>
      </c>
      <c r="AH48" s="62">
        <v>4</v>
      </c>
      <c r="AI48" s="143">
        <f>0.6+1</f>
        <v>1.6</v>
      </c>
      <c r="AJ48" s="13">
        <f t="shared" si="30"/>
        <v>5.57</v>
      </c>
      <c r="AK48" s="61"/>
      <c r="AL48" s="143">
        <f>0.9+0.4</f>
        <v>1.3</v>
      </c>
      <c r="AM48" s="13">
        <f t="shared" si="6"/>
        <v>4.2700000000000005</v>
      </c>
      <c r="AN48" s="62"/>
      <c r="AO48" s="143"/>
      <c r="AP48" s="13">
        <f t="shared" si="7"/>
        <v>4.2700000000000005</v>
      </c>
      <c r="AQ48" s="62"/>
      <c r="AR48" s="143">
        <f>0.9+0.1+0.1+0.1</f>
        <v>1.2000000000000002</v>
      </c>
      <c r="AS48" s="13">
        <f t="shared" si="8"/>
        <v>3.0700000000000003</v>
      </c>
      <c r="AT48" s="62"/>
      <c r="AU48" s="143">
        <f>0.7</f>
        <v>0.7</v>
      </c>
      <c r="AV48" s="13">
        <f t="shared" si="9"/>
        <v>2.37</v>
      </c>
      <c r="AW48" s="62">
        <v>4</v>
      </c>
      <c r="AX48" s="143">
        <f>0.7+0.7+0.5</f>
        <v>1.9</v>
      </c>
      <c r="AY48" s="13">
        <f t="shared" si="10"/>
        <v>4.4700000000000006</v>
      </c>
      <c r="AZ48" s="62"/>
      <c r="BA48" s="143"/>
      <c r="BB48" s="13">
        <f t="shared" si="11"/>
        <v>4.4700000000000006</v>
      </c>
      <c r="BC48" s="62"/>
      <c r="BD48" s="143">
        <f>0.5</f>
        <v>0.5</v>
      </c>
      <c r="BE48" s="13">
        <f t="shared" si="12"/>
        <v>3.9700000000000006</v>
      </c>
      <c r="BF48" s="62">
        <v>-0.7</v>
      </c>
      <c r="BG48" s="143">
        <f>1+0.8</f>
        <v>1.8</v>
      </c>
      <c r="BH48" s="13">
        <f t="shared" si="13"/>
        <v>1.4700000000000004</v>
      </c>
      <c r="BI48" s="62"/>
      <c r="BJ48" s="143"/>
      <c r="BK48" s="13">
        <f t="shared" si="14"/>
        <v>1.4700000000000004</v>
      </c>
      <c r="BL48" s="62"/>
      <c r="BM48" s="143">
        <f>0.8</f>
        <v>0.8</v>
      </c>
      <c r="BN48" s="13">
        <f t="shared" si="15"/>
        <v>0.67000000000000037</v>
      </c>
      <c r="BO48" s="62">
        <v>4</v>
      </c>
      <c r="BP48" s="143">
        <f>0.5</f>
        <v>0.5</v>
      </c>
      <c r="BQ48" s="13">
        <f t="shared" si="16"/>
        <v>4.17</v>
      </c>
      <c r="BR48" s="62">
        <v>4</v>
      </c>
      <c r="BS48" s="143">
        <f>0.8+0.3+0.5+0.4+0.6</f>
        <v>2.6</v>
      </c>
      <c r="BT48" s="13">
        <f t="shared" si="17"/>
        <v>5.57</v>
      </c>
      <c r="BU48" s="62"/>
      <c r="BV48" s="143"/>
      <c r="BW48" s="13">
        <f t="shared" si="18"/>
        <v>5.57</v>
      </c>
      <c r="BX48" s="62"/>
      <c r="BY48" s="143"/>
      <c r="BZ48" s="13">
        <f t="shared" si="19"/>
        <v>5.57</v>
      </c>
      <c r="CA48" s="62"/>
      <c r="CB48" s="143">
        <v>1.2</v>
      </c>
      <c r="CC48" s="13">
        <f t="shared" si="20"/>
        <v>4.37</v>
      </c>
      <c r="CD48" s="62"/>
      <c r="CE48" s="143"/>
      <c r="CF48" s="13">
        <f t="shared" si="21"/>
        <v>4.37</v>
      </c>
      <c r="CG48" s="62"/>
      <c r="CH48" s="143">
        <f>0.7+0.5</f>
        <v>1.2</v>
      </c>
      <c r="CI48" s="13">
        <f t="shared" si="31"/>
        <v>3.17</v>
      </c>
      <c r="CJ48" s="62"/>
      <c r="CK48" s="143"/>
      <c r="CL48" s="13">
        <f t="shared" si="32"/>
        <v>3.17</v>
      </c>
      <c r="CM48" s="62"/>
      <c r="CN48" s="143"/>
      <c r="CO48" s="13">
        <f t="shared" si="22"/>
        <v>3.17</v>
      </c>
      <c r="CP48" s="62"/>
      <c r="CQ48" s="143"/>
      <c r="CR48" s="13">
        <f t="shared" si="33"/>
        <v>3.17</v>
      </c>
      <c r="CS48" s="62"/>
      <c r="CT48" s="143"/>
      <c r="CU48" s="14">
        <f t="shared" si="23"/>
        <v>3.17</v>
      </c>
      <c r="CV48" s="5">
        <f t="shared" si="36"/>
        <v>23.3</v>
      </c>
      <c r="CW48" s="4">
        <f t="shared" si="36"/>
        <v>21</v>
      </c>
      <c r="CX48" s="6">
        <f t="shared" si="25"/>
        <v>3.17</v>
      </c>
      <c r="CY48" s="162">
        <v>1000</v>
      </c>
      <c r="CZ48" s="171">
        <f t="shared" si="26"/>
        <v>3170</v>
      </c>
      <c r="DB48" s="2">
        <f t="shared" si="34"/>
        <v>3.17</v>
      </c>
      <c r="DC48" s="61"/>
      <c r="DD48" s="143"/>
      <c r="DE48" s="149">
        <f t="shared" si="35"/>
        <v>3.17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6</v>
      </c>
      <c r="G49" s="62">
        <v>10</v>
      </c>
      <c r="H49" s="143">
        <v>2</v>
      </c>
      <c r="I49" s="13">
        <f t="shared" si="0"/>
        <v>14</v>
      </c>
      <c r="J49" s="62"/>
      <c r="K49" s="143"/>
      <c r="L49" s="13">
        <f t="shared" si="1"/>
        <v>14</v>
      </c>
      <c r="M49" s="62"/>
      <c r="N49" s="143">
        <v>3</v>
      </c>
      <c r="O49" s="13">
        <f t="shared" si="2"/>
        <v>11</v>
      </c>
      <c r="P49" s="62">
        <v>10</v>
      </c>
      <c r="Q49" s="143">
        <v>2</v>
      </c>
      <c r="R49" s="30">
        <f t="shared" si="3"/>
        <v>19</v>
      </c>
      <c r="S49" s="62"/>
      <c r="T49" s="143"/>
      <c r="U49" s="13">
        <f t="shared" si="4"/>
        <v>19</v>
      </c>
      <c r="V49" s="62"/>
      <c r="W49" s="143">
        <v>3</v>
      </c>
      <c r="X49" s="13">
        <f t="shared" si="5"/>
        <v>16</v>
      </c>
      <c r="Y49" s="62"/>
      <c r="Z49" s="143">
        <v>2</v>
      </c>
      <c r="AA49" s="13">
        <f t="shared" si="27"/>
        <v>14</v>
      </c>
      <c r="AB49" s="62">
        <v>10</v>
      </c>
      <c r="AC49" s="143">
        <v>3</v>
      </c>
      <c r="AD49" s="13">
        <f t="shared" si="28"/>
        <v>21</v>
      </c>
      <c r="AE49" s="62"/>
      <c r="AF49" s="143"/>
      <c r="AG49" s="13">
        <f t="shared" si="29"/>
        <v>21</v>
      </c>
      <c r="AH49" s="62"/>
      <c r="AI49" s="143">
        <v>3</v>
      </c>
      <c r="AJ49" s="13">
        <f t="shared" si="30"/>
        <v>18</v>
      </c>
      <c r="AK49" s="61"/>
      <c r="AL49" s="143">
        <v>6</v>
      </c>
      <c r="AM49" s="13">
        <f t="shared" si="6"/>
        <v>12</v>
      </c>
      <c r="AN49" s="62"/>
      <c r="AO49" s="143"/>
      <c r="AP49" s="13">
        <f t="shared" si="7"/>
        <v>12</v>
      </c>
      <c r="AQ49" s="62"/>
      <c r="AR49" s="143">
        <v>5</v>
      </c>
      <c r="AS49" s="13">
        <f t="shared" si="8"/>
        <v>7</v>
      </c>
      <c r="AT49" s="62">
        <v>10</v>
      </c>
      <c r="AU49" s="143">
        <v>4</v>
      </c>
      <c r="AV49" s="13">
        <f t="shared" si="9"/>
        <v>13</v>
      </c>
      <c r="AW49" s="62">
        <v>10</v>
      </c>
      <c r="AX49" s="143">
        <v>3</v>
      </c>
      <c r="AY49" s="13">
        <f t="shared" si="10"/>
        <v>20</v>
      </c>
      <c r="AZ49" s="62"/>
      <c r="BA49" s="143"/>
      <c r="BB49" s="13">
        <f t="shared" si="11"/>
        <v>20</v>
      </c>
      <c r="BC49" s="62"/>
      <c r="BD49" s="143">
        <v>2</v>
      </c>
      <c r="BE49" s="13">
        <f t="shared" si="12"/>
        <v>18</v>
      </c>
      <c r="BF49" s="62"/>
      <c r="BG49" s="143">
        <v>4</v>
      </c>
      <c r="BH49" s="13">
        <f t="shared" si="13"/>
        <v>14</v>
      </c>
      <c r="BI49" s="62"/>
      <c r="BJ49" s="143"/>
      <c r="BK49" s="13">
        <f t="shared" si="14"/>
        <v>14</v>
      </c>
      <c r="BL49" s="62"/>
      <c r="BM49" s="143">
        <v>1</v>
      </c>
      <c r="BN49" s="13">
        <f t="shared" si="15"/>
        <v>13</v>
      </c>
      <c r="BO49" s="62">
        <v>10</v>
      </c>
      <c r="BP49" s="143">
        <v>5</v>
      </c>
      <c r="BQ49" s="13">
        <f t="shared" si="16"/>
        <v>18</v>
      </c>
      <c r="BR49" s="62"/>
      <c r="BS49" s="143">
        <v>4</v>
      </c>
      <c r="BT49" s="13">
        <f t="shared" si="17"/>
        <v>14</v>
      </c>
      <c r="BU49" s="62"/>
      <c r="BV49" s="143"/>
      <c r="BW49" s="13">
        <f t="shared" si="18"/>
        <v>14</v>
      </c>
      <c r="BX49" s="62"/>
      <c r="BY49" s="143">
        <v>6</v>
      </c>
      <c r="BZ49" s="13">
        <f t="shared" si="19"/>
        <v>8</v>
      </c>
      <c r="CA49" s="62"/>
      <c r="CB49" s="143">
        <v>3</v>
      </c>
      <c r="CC49" s="13">
        <f t="shared" si="20"/>
        <v>5</v>
      </c>
      <c r="CD49" s="62"/>
      <c r="CE49" s="143"/>
      <c r="CF49" s="13">
        <f t="shared" si="21"/>
        <v>5</v>
      </c>
      <c r="CG49" s="62">
        <v>1</v>
      </c>
      <c r="CH49" s="143">
        <v>3</v>
      </c>
      <c r="CI49" s="13">
        <f t="shared" si="31"/>
        <v>3</v>
      </c>
      <c r="CJ49" s="62"/>
      <c r="CK49" s="143">
        <v>3</v>
      </c>
      <c r="CL49" s="13">
        <f t="shared" si="32"/>
        <v>0</v>
      </c>
      <c r="CM49" s="62"/>
      <c r="CN49" s="143"/>
      <c r="CO49" s="13">
        <f t="shared" si="22"/>
        <v>0</v>
      </c>
      <c r="CP49" s="62"/>
      <c r="CQ49" s="143"/>
      <c r="CR49" s="13">
        <f t="shared" si="33"/>
        <v>0</v>
      </c>
      <c r="CS49" s="62"/>
      <c r="CT49" s="143"/>
      <c r="CU49" s="14">
        <f t="shared" si="23"/>
        <v>0</v>
      </c>
      <c r="CV49" s="5">
        <f t="shared" si="36"/>
        <v>61</v>
      </c>
      <c r="CW49" s="4">
        <f t="shared" si="36"/>
        <v>67</v>
      </c>
      <c r="CX49" s="6">
        <f t="shared" si="25"/>
        <v>0</v>
      </c>
      <c r="CY49" s="162">
        <v>880</v>
      </c>
      <c r="CZ49" s="171">
        <f t="shared" si="26"/>
        <v>0</v>
      </c>
      <c r="DB49" s="2">
        <f t="shared" si="34"/>
        <v>0</v>
      </c>
      <c r="DC49" s="61"/>
      <c r="DD49" s="143"/>
      <c r="DE49" s="149">
        <f t="shared" si="35"/>
        <v>0</v>
      </c>
    </row>
    <row r="50" spans="1:109" ht="15.75" customHeight="1">
      <c r="A50" s="33"/>
      <c r="B50" s="7" t="s">
        <v>279</v>
      </c>
      <c r="C50" s="105" t="s">
        <v>27</v>
      </c>
      <c r="D50" s="35"/>
      <c r="E50" s="35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2"/>
      <c r="N50" s="143"/>
      <c r="O50" s="13">
        <f t="shared" si="2"/>
        <v>0</v>
      </c>
      <c r="P50" s="62"/>
      <c r="Q50" s="143"/>
      <c r="R50" s="30">
        <f t="shared" si="3"/>
        <v>0</v>
      </c>
      <c r="S50" s="62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1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62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>
        <f>2+2</f>
        <v>4</v>
      </c>
      <c r="CH50" s="143"/>
      <c r="CI50" s="13">
        <f t="shared" si="31"/>
        <v>4</v>
      </c>
      <c r="CJ50" s="62">
        <f>-4+6</f>
        <v>2</v>
      </c>
      <c r="CK50" s="143">
        <v>4</v>
      </c>
      <c r="CL50" s="13">
        <f t="shared" si="32"/>
        <v>2</v>
      </c>
      <c r="CM50" s="62"/>
      <c r="CN50" s="143"/>
      <c r="CO50" s="13">
        <f t="shared" si="22"/>
        <v>2</v>
      </c>
      <c r="CP50" s="62"/>
      <c r="CQ50" s="143"/>
      <c r="CR50" s="13">
        <f t="shared" si="33"/>
        <v>2</v>
      </c>
      <c r="CS50" s="62"/>
      <c r="CT50" s="143"/>
      <c r="CU50" s="14">
        <f t="shared" si="23"/>
        <v>2</v>
      </c>
      <c r="CV50" s="5">
        <f t="shared" si="36"/>
        <v>6</v>
      </c>
      <c r="CW50" s="4">
        <f t="shared" si="36"/>
        <v>4</v>
      </c>
      <c r="CX50" s="6">
        <f t="shared" si="25"/>
        <v>2</v>
      </c>
      <c r="CY50" s="162">
        <v>85</v>
      </c>
      <c r="CZ50" s="171">
        <f t="shared" si="26"/>
        <v>170</v>
      </c>
      <c r="DB50" s="2">
        <f t="shared" si="34"/>
        <v>2</v>
      </c>
      <c r="DC50" s="61"/>
      <c r="DD50" s="143"/>
      <c r="DE50" s="149">
        <f t="shared" si="35"/>
        <v>2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2"/>
      <c r="N51" s="143"/>
      <c r="O51" s="13">
        <f t="shared" si="2"/>
        <v>0</v>
      </c>
      <c r="P51" s="62"/>
      <c r="Q51" s="143"/>
      <c r="R51" s="30">
        <f t="shared" si="3"/>
        <v>0</v>
      </c>
      <c r="S51" s="62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1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62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2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2"/>
      <c r="N52" s="143"/>
      <c r="O52" s="13">
        <f t="shared" si="2"/>
        <v>0</v>
      </c>
      <c r="P52" s="62"/>
      <c r="Q52" s="143"/>
      <c r="R52" s="30">
        <f t="shared" si="3"/>
        <v>0</v>
      </c>
      <c r="S52" s="62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1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62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2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11</v>
      </c>
      <c r="G53" s="62">
        <f>-4+19</f>
        <v>15</v>
      </c>
      <c r="H53" s="143">
        <v>11</v>
      </c>
      <c r="I53" s="13">
        <f t="shared" si="0"/>
        <v>15</v>
      </c>
      <c r="J53" s="62"/>
      <c r="K53" s="143"/>
      <c r="L53" s="13">
        <f t="shared" si="1"/>
        <v>15</v>
      </c>
      <c r="M53" s="62">
        <v>13</v>
      </c>
      <c r="N53" s="143">
        <v>8</v>
      </c>
      <c r="O53" s="13">
        <f t="shared" si="2"/>
        <v>20</v>
      </c>
      <c r="P53" s="62">
        <v>6</v>
      </c>
      <c r="Q53" s="143">
        <f>11</f>
        <v>11</v>
      </c>
      <c r="R53" s="13">
        <f t="shared" si="3"/>
        <v>15</v>
      </c>
      <c r="S53" s="62"/>
      <c r="T53" s="143"/>
      <c r="U53" s="13">
        <f t="shared" si="4"/>
        <v>15</v>
      </c>
      <c r="V53" s="62">
        <v>1</v>
      </c>
      <c r="W53" s="143">
        <f>1</f>
        <v>1</v>
      </c>
      <c r="X53" s="13">
        <f t="shared" si="5"/>
        <v>15</v>
      </c>
      <c r="Y53" s="62">
        <v>16</v>
      </c>
      <c r="Z53" s="143">
        <v>11</v>
      </c>
      <c r="AA53" s="13">
        <f t="shared" si="27"/>
        <v>20</v>
      </c>
      <c r="AB53" s="62">
        <v>13</v>
      </c>
      <c r="AC53" s="143">
        <v>13</v>
      </c>
      <c r="AD53" s="13">
        <f t="shared" si="28"/>
        <v>20</v>
      </c>
      <c r="AE53" s="62"/>
      <c r="AF53" s="143"/>
      <c r="AG53" s="13">
        <f t="shared" si="29"/>
        <v>20</v>
      </c>
      <c r="AH53" s="62">
        <v>13</v>
      </c>
      <c r="AI53" s="143">
        <v>8</v>
      </c>
      <c r="AJ53" s="13">
        <f t="shared" si="30"/>
        <v>25</v>
      </c>
      <c r="AK53" s="61"/>
      <c r="AL53" s="143">
        <v>18</v>
      </c>
      <c r="AM53" s="13">
        <f t="shared" si="6"/>
        <v>7</v>
      </c>
      <c r="AN53" s="62"/>
      <c r="AO53" s="143"/>
      <c r="AP53" s="13">
        <f t="shared" si="7"/>
        <v>7</v>
      </c>
      <c r="AQ53" s="62">
        <v>15</v>
      </c>
      <c r="AR53" s="143">
        <v>7</v>
      </c>
      <c r="AS53" s="13">
        <f t="shared" si="8"/>
        <v>15</v>
      </c>
      <c r="AT53" s="62">
        <v>11</v>
      </c>
      <c r="AU53" s="143">
        <v>6</v>
      </c>
      <c r="AV53" s="13">
        <f t="shared" si="9"/>
        <v>20</v>
      </c>
      <c r="AW53" s="62">
        <v>15</v>
      </c>
      <c r="AX53" s="143">
        <v>15</v>
      </c>
      <c r="AY53" s="13">
        <f t="shared" si="10"/>
        <v>20</v>
      </c>
      <c r="AZ53" s="62"/>
      <c r="BA53" s="143"/>
      <c r="BB53" s="13">
        <f t="shared" si="11"/>
        <v>20</v>
      </c>
      <c r="BC53" s="62">
        <v>10</v>
      </c>
      <c r="BD53" s="143">
        <v>10</v>
      </c>
      <c r="BE53" s="13">
        <f t="shared" si="12"/>
        <v>20</v>
      </c>
      <c r="BF53" s="62">
        <v>10</v>
      </c>
      <c r="BG53" s="143">
        <f>10</f>
        <v>10</v>
      </c>
      <c r="BH53" s="13">
        <f t="shared" si="13"/>
        <v>20</v>
      </c>
      <c r="BI53" s="62"/>
      <c r="BJ53" s="143"/>
      <c r="BK53" s="13">
        <f t="shared" si="14"/>
        <v>20</v>
      </c>
      <c r="BL53" s="62">
        <v>6</v>
      </c>
      <c r="BM53" s="143">
        <v>6</v>
      </c>
      <c r="BN53" s="13">
        <f t="shared" si="15"/>
        <v>20</v>
      </c>
      <c r="BO53" s="62">
        <v>13</v>
      </c>
      <c r="BP53" s="143">
        <v>8</v>
      </c>
      <c r="BQ53" s="13">
        <f t="shared" si="16"/>
        <v>25</v>
      </c>
      <c r="BR53" s="62">
        <v>13</v>
      </c>
      <c r="BS53" s="143">
        <v>13</v>
      </c>
      <c r="BT53" s="13">
        <f t="shared" si="17"/>
        <v>25</v>
      </c>
      <c r="BU53" s="62"/>
      <c r="BV53" s="143"/>
      <c r="BW53" s="13">
        <f t="shared" si="18"/>
        <v>25</v>
      </c>
      <c r="BX53" s="62"/>
      <c r="BY53" s="143">
        <v>11</v>
      </c>
      <c r="BZ53" s="13">
        <f t="shared" si="19"/>
        <v>14</v>
      </c>
      <c r="CA53" s="62">
        <v>13</v>
      </c>
      <c r="CB53" s="143">
        <v>12</v>
      </c>
      <c r="CC53" s="13">
        <f t="shared" si="20"/>
        <v>15</v>
      </c>
      <c r="CD53" s="62"/>
      <c r="CE53" s="143"/>
      <c r="CF53" s="13">
        <f t="shared" si="21"/>
        <v>15</v>
      </c>
      <c r="CG53" s="62">
        <v>2</v>
      </c>
      <c r="CH53" s="143">
        <v>7</v>
      </c>
      <c r="CI53" s="13">
        <f>CF53+CG53-CH53</f>
        <v>10</v>
      </c>
      <c r="CJ53" s="62"/>
      <c r="CK53" s="143">
        <v>4</v>
      </c>
      <c r="CL53" s="13">
        <f>CI53+CJ53-CK53</f>
        <v>6</v>
      </c>
      <c r="CM53" s="62"/>
      <c r="CN53" s="143"/>
      <c r="CO53" s="13">
        <f t="shared" si="22"/>
        <v>6</v>
      </c>
      <c r="CP53" s="62"/>
      <c r="CQ53" s="143"/>
      <c r="CR53" s="13">
        <f t="shared" si="33"/>
        <v>6</v>
      </c>
      <c r="CS53" s="62"/>
      <c r="CT53" s="143"/>
      <c r="CU53" s="14">
        <f t="shared" si="23"/>
        <v>6</v>
      </c>
      <c r="CV53" s="5">
        <f t="shared" si="36"/>
        <v>185</v>
      </c>
      <c r="CW53" s="4">
        <f t="shared" si="36"/>
        <v>190</v>
      </c>
      <c r="CX53" s="6">
        <f t="shared" si="25"/>
        <v>6</v>
      </c>
      <c r="CY53" s="162">
        <v>90</v>
      </c>
      <c r="CZ53" s="171">
        <f t="shared" si="26"/>
        <v>540</v>
      </c>
      <c r="DB53" s="2">
        <f t="shared" si="34"/>
        <v>6</v>
      </c>
      <c r="DC53" s="61"/>
      <c r="DD53" s="143"/>
      <c r="DE53" s="149">
        <f t="shared" si="35"/>
        <v>6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2"/>
      <c r="N54" s="143"/>
      <c r="O54" s="13">
        <f t="shared" si="2"/>
        <v>0</v>
      </c>
      <c r="P54" s="62"/>
      <c r="Q54" s="143"/>
      <c r="R54" s="30">
        <f t="shared" si="3"/>
        <v>0</v>
      </c>
      <c r="S54" s="62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1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62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2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2</v>
      </c>
      <c r="G55" s="62">
        <v>10</v>
      </c>
      <c r="H55" s="143"/>
      <c r="I55" s="13">
        <f t="shared" si="0"/>
        <v>12</v>
      </c>
      <c r="J55" s="62"/>
      <c r="K55" s="143"/>
      <c r="L55" s="13">
        <f t="shared" si="1"/>
        <v>12</v>
      </c>
      <c r="M55" s="62"/>
      <c r="N55" s="143"/>
      <c r="O55" s="13">
        <f t="shared" si="2"/>
        <v>12</v>
      </c>
      <c r="P55" s="62"/>
      <c r="Q55" s="143"/>
      <c r="R55" s="13">
        <f t="shared" si="3"/>
        <v>12</v>
      </c>
      <c r="S55" s="62"/>
      <c r="T55" s="143"/>
      <c r="U55" s="13">
        <f t="shared" si="4"/>
        <v>12</v>
      </c>
      <c r="V55" s="62"/>
      <c r="W55" s="143">
        <v>8</v>
      </c>
      <c r="X55" s="13">
        <f t="shared" si="5"/>
        <v>4</v>
      </c>
      <c r="Y55" s="62">
        <v>10</v>
      </c>
      <c r="Z55" s="143"/>
      <c r="AA55" s="13">
        <f t="shared" si="27"/>
        <v>14</v>
      </c>
      <c r="AB55" s="62"/>
      <c r="AC55" s="143"/>
      <c r="AD55" s="13">
        <f t="shared" si="28"/>
        <v>14</v>
      </c>
      <c r="AE55" s="62"/>
      <c r="AF55" s="143"/>
      <c r="AG55" s="13">
        <f t="shared" si="29"/>
        <v>14</v>
      </c>
      <c r="AH55" s="62"/>
      <c r="AI55" s="143"/>
      <c r="AJ55" s="13">
        <f t="shared" si="30"/>
        <v>14</v>
      </c>
      <c r="AK55" s="61"/>
      <c r="AL55" s="143"/>
      <c r="AM55" s="13">
        <f t="shared" si="6"/>
        <v>14</v>
      </c>
      <c r="AN55" s="62"/>
      <c r="AO55" s="143"/>
      <c r="AP55" s="13">
        <f t="shared" si="7"/>
        <v>14</v>
      </c>
      <c r="AQ55" s="62"/>
      <c r="AR55" s="143">
        <v>8</v>
      </c>
      <c r="AS55" s="13">
        <f t="shared" si="8"/>
        <v>6</v>
      </c>
      <c r="AT55" s="62">
        <v>10</v>
      </c>
      <c r="AU55" s="143"/>
      <c r="AV55" s="13">
        <f t="shared" si="9"/>
        <v>16</v>
      </c>
      <c r="AW55" s="62"/>
      <c r="AX55" s="143"/>
      <c r="AY55" s="13">
        <f t="shared" si="10"/>
        <v>16</v>
      </c>
      <c r="AZ55" s="62"/>
      <c r="BA55" s="143"/>
      <c r="BB55" s="13">
        <f t="shared" si="11"/>
        <v>16</v>
      </c>
      <c r="BC55" s="62"/>
      <c r="BD55" s="143"/>
      <c r="BE55" s="13">
        <f t="shared" si="12"/>
        <v>16</v>
      </c>
      <c r="BF55" s="62"/>
      <c r="BG55" s="143"/>
      <c r="BH55" s="13">
        <f t="shared" si="13"/>
        <v>16</v>
      </c>
      <c r="BI55" s="62"/>
      <c r="BJ55" s="143"/>
      <c r="BK55" s="13">
        <f t="shared" si="14"/>
        <v>16</v>
      </c>
      <c r="BL55" s="62"/>
      <c r="BM55" s="143">
        <v>7</v>
      </c>
      <c r="BN55" s="13">
        <f t="shared" si="15"/>
        <v>9</v>
      </c>
      <c r="BO55" s="62"/>
      <c r="BP55" s="143"/>
      <c r="BQ55" s="13">
        <f t="shared" si="16"/>
        <v>9</v>
      </c>
      <c r="BR55" s="62"/>
      <c r="BS55" s="143"/>
      <c r="BT55" s="13">
        <f t="shared" si="17"/>
        <v>9</v>
      </c>
      <c r="BU55" s="62"/>
      <c r="BV55" s="143"/>
      <c r="BW55" s="13">
        <f t="shared" si="18"/>
        <v>9</v>
      </c>
      <c r="BX55" s="62"/>
      <c r="BY55" s="143"/>
      <c r="BZ55" s="13">
        <f t="shared" si="19"/>
        <v>9</v>
      </c>
      <c r="CA55" s="62"/>
      <c r="CB55" s="143"/>
      <c r="CC55" s="13">
        <f t="shared" si="20"/>
        <v>9</v>
      </c>
      <c r="CD55" s="62"/>
      <c r="CE55" s="143"/>
      <c r="CF55" s="13">
        <f t="shared" si="21"/>
        <v>9</v>
      </c>
      <c r="CG55" s="62"/>
      <c r="CH55" s="143">
        <v>7</v>
      </c>
      <c r="CI55" s="13">
        <f t="shared" si="31"/>
        <v>2</v>
      </c>
      <c r="CJ55" s="62"/>
      <c r="CK55" s="143"/>
      <c r="CL55" s="13">
        <f t="shared" si="32"/>
        <v>2</v>
      </c>
      <c r="CM55" s="62"/>
      <c r="CN55" s="143"/>
      <c r="CO55" s="13">
        <f t="shared" si="22"/>
        <v>2</v>
      </c>
      <c r="CP55" s="62"/>
      <c r="CQ55" s="143"/>
      <c r="CR55" s="13">
        <f t="shared" si="33"/>
        <v>2</v>
      </c>
      <c r="CS55" s="62"/>
      <c r="CT55" s="143"/>
      <c r="CU55" s="14">
        <f t="shared" si="23"/>
        <v>2</v>
      </c>
      <c r="CV55" s="5">
        <f t="shared" si="36"/>
        <v>30</v>
      </c>
      <c r="CW55" s="4">
        <f t="shared" si="36"/>
        <v>30</v>
      </c>
      <c r="CX55" s="6">
        <f t="shared" si="25"/>
        <v>2</v>
      </c>
      <c r="CY55" s="162">
        <v>125</v>
      </c>
      <c r="CZ55" s="171">
        <f t="shared" si="26"/>
        <v>250</v>
      </c>
      <c r="DB55" s="2">
        <f t="shared" si="34"/>
        <v>2</v>
      </c>
      <c r="DC55" s="61"/>
      <c r="DD55" s="143"/>
      <c r="DE55" s="149">
        <f t="shared" si="35"/>
        <v>2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0</v>
      </c>
      <c r="G56" s="62"/>
      <c r="H56" s="143"/>
      <c r="I56" s="13">
        <f t="shared" si="0"/>
        <v>0</v>
      </c>
      <c r="J56" s="62"/>
      <c r="K56" s="143"/>
      <c r="L56" s="13">
        <f t="shared" si="1"/>
        <v>0</v>
      </c>
      <c r="M56" s="62"/>
      <c r="N56" s="143"/>
      <c r="O56" s="13">
        <f t="shared" si="2"/>
        <v>0</v>
      </c>
      <c r="P56" s="62"/>
      <c r="Q56" s="143"/>
      <c r="R56" s="30">
        <f t="shared" si="3"/>
        <v>0</v>
      </c>
      <c r="S56" s="62"/>
      <c r="T56" s="143"/>
      <c r="U56" s="13">
        <f t="shared" si="4"/>
        <v>0</v>
      </c>
      <c r="V56" s="62"/>
      <c r="W56" s="143"/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>
        <v>1</v>
      </c>
      <c r="AI56" s="143"/>
      <c r="AJ56" s="13">
        <f t="shared" si="30"/>
        <v>1</v>
      </c>
      <c r="AK56" s="61"/>
      <c r="AL56" s="143"/>
      <c r="AM56" s="13">
        <f t="shared" si="6"/>
        <v>1</v>
      </c>
      <c r="AN56" s="62"/>
      <c r="AO56" s="143"/>
      <c r="AP56" s="13">
        <f t="shared" si="7"/>
        <v>1</v>
      </c>
      <c r="AQ56" s="62"/>
      <c r="AR56" s="143"/>
      <c r="AS56" s="13">
        <f t="shared" si="8"/>
        <v>1</v>
      </c>
      <c r="AT56" s="62"/>
      <c r="AU56" s="143">
        <v>1</v>
      </c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62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2"/>
      <c r="CT56" s="143"/>
      <c r="CU56" s="14">
        <f t="shared" si="23"/>
        <v>0</v>
      </c>
      <c r="CV56" s="5">
        <f t="shared" si="36"/>
        <v>1</v>
      </c>
      <c r="CW56" s="4">
        <f t="shared" si="36"/>
        <v>1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2"/>
      <c r="N57" s="143"/>
      <c r="O57" s="13">
        <f t="shared" si="2"/>
        <v>0</v>
      </c>
      <c r="P57" s="62"/>
      <c r="Q57" s="143"/>
      <c r="R57" s="13">
        <f t="shared" si="3"/>
        <v>0</v>
      </c>
      <c r="S57" s="62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1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62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4.1999999999999886</v>
      </c>
      <c r="G58" s="62">
        <v>-0.3</v>
      </c>
      <c r="H58" s="143">
        <f>0.7+2.1</f>
        <v>2.8</v>
      </c>
      <c r="I58" s="13">
        <f t="shared" si="0"/>
        <v>1.099999999999989</v>
      </c>
      <c r="J58" s="62"/>
      <c r="K58" s="143"/>
      <c r="L58" s="13">
        <f t="shared" si="1"/>
        <v>1.099999999999989</v>
      </c>
      <c r="M58" s="62">
        <v>10</v>
      </c>
      <c r="N58" s="143">
        <f>4.2+3.8</f>
        <v>8</v>
      </c>
      <c r="O58" s="13">
        <f t="shared" si="2"/>
        <v>3.099999999999989</v>
      </c>
      <c r="P58" s="62">
        <v>10</v>
      </c>
      <c r="Q58" s="143">
        <v>3.5</v>
      </c>
      <c r="R58" s="13">
        <f t="shared" si="3"/>
        <v>9.599999999999989</v>
      </c>
      <c r="S58" s="62"/>
      <c r="T58" s="143"/>
      <c r="U58" s="13">
        <f t="shared" si="4"/>
        <v>9.599999999999989</v>
      </c>
      <c r="V58" s="62"/>
      <c r="W58" s="143"/>
      <c r="X58" s="13">
        <f t="shared" si="5"/>
        <v>9.599999999999989</v>
      </c>
      <c r="Y58" s="62"/>
      <c r="Z58" s="143"/>
      <c r="AA58" s="13">
        <f t="shared" si="27"/>
        <v>9.599999999999989</v>
      </c>
      <c r="AB58" s="62"/>
      <c r="AC58" s="143"/>
      <c r="AD58" s="13">
        <f t="shared" si="28"/>
        <v>9.599999999999989</v>
      </c>
      <c r="AE58" s="62"/>
      <c r="AF58" s="143"/>
      <c r="AG58" s="13">
        <f t="shared" si="29"/>
        <v>9.599999999999989</v>
      </c>
      <c r="AH58" s="62">
        <v>20</v>
      </c>
      <c r="AI58" s="143">
        <f>4.7+7.6+3</f>
        <v>15.3</v>
      </c>
      <c r="AJ58" s="13">
        <f t="shared" si="30"/>
        <v>14.299999999999986</v>
      </c>
      <c r="AK58" s="61"/>
      <c r="AL58" s="143">
        <f>4.6+1.8</f>
        <v>6.3999999999999995</v>
      </c>
      <c r="AM58" s="13">
        <f t="shared" si="6"/>
        <v>7.899999999999987</v>
      </c>
      <c r="AN58" s="62"/>
      <c r="AO58" s="143"/>
      <c r="AP58" s="13">
        <f t="shared" si="7"/>
        <v>7.899999999999987</v>
      </c>
      <c r="AQ58" s="62"/>
      <c r="AR58" s="143"/>
      <c r="AS58" s="13">
        <f t="shared" si="8"/>
        <v>7.899999999999987</v>
      </c>
      <c r="AT58" s="62"/>
      <c r="AU58" s="143"/>
      <c r="AV58" s="13">
        <f t="shared" si="9"/>
        <v>7.899999999999987</v>
      </c>
      <c r="AW58" s="62">
        <v>10</v>
      </c>
      <c r="AX58" s="143">
        <f>3.4+1.2+2.2</f>
        <v>6.8</v>
      </c>
      <c r="AY58" s="13">
        <f t="shared" si="10"/>
        <v>11.099999999999987</v>
      </c>
      <c r="AZ58" s="62"/>
      <c r="BA58" s="143"/>
      <c r="BB58" s="13">
        <f t="shared" si="11"/>
        <v>11.099999999999987</v>
      </c>
      <c r="BC58" s="62">
        <v>10</v>
      </c>
      <c r="BD58" s="143">
        <f>1.6+1.4+1.5</f>
        <v>4.5</v>
      </c>
      <c r="BE58" s="13">
        <f t="shared" si="12"/>
        <v>16.599999999999987</v>
      </c>
      <c r="BF58" s="62">
        <v>10</v>
      </c>
      <c r="BG58" s="143">
        <f>4.9+3.5</f>
        <v>8.4</v>
      </c>
      <c r="BH58" s="13">
        <f t="shared" si="13"/>
        <v>18.199999999999989</v>
      </c>
      <c r="BI58" s="62"/>
      <c r="BJ58" s="143"/>
      <c r="BK58" s="13">
        <f t="shared" si="14"/>
        <v>18.199999999999989</v>
      </c>
      <c r="BL58" s="62"/>
      <c r="BM58" s="143"/>
      <c r="BN58" s="13">
        <f t="shared" si="15"/>
        <v>18.199999999999989</v>
      </c>
      <c r="BO58" s="62"/>
      <c r="BP58" s="143"/>
      <c r="BQ58" s="13">
        <f t="shared" si="16"/>
        <v>18.199999999999989</v>
      </c>
      <c r="BR58" s="62"/>
      <c r="BS58" s="143">
        <f>1.2</f>
        <v>1.2</v>
      </c>
      <c r="BT58" s="13">
        <f t="shared" si="17"/>
        <v>16.999999999999989</v>
      </c>
      <c r="BU58" s="62"/>
      <c r="BV58" s="143"/>
      <c r="BW58" s="13">
        <f t="shared" si="18"/>
        <v>16.999999999999989</v>
      </c>
      <c r="BX58" s="62"/>
      <c r="BY58" s="143"/>
      <c r="BZ58" s="13">
        <f t="shared" si="19"/>
        <v>16.999999999999989</v>
      </c>
      <c r="CA58" s="62"/>
      <c r="CB58" s="143">
        <f>1.5</f>
        <v>1.5</v>
      </c>
      <c r="CC58" s="13">
        <f t="shared" si="20"/>
        <v>15.499999999999989</v>
      </c>
      <c r="CD58" s="62"/>
      <c r="CE58" s="143"/>
      <c r="CF58" s="13">
        <f t="shared" si="21"/>
        <v>15.499999999999989</v>
      </c>
      <c r="CG58" s="62"/>
      <c r="CH58" s="143"/>
      <c r="CI58" s="13">
        <f t="shared" si="31"/>
        <v>15.499999999999989</v>
      </c>
      <c r="CJ58" s="62"/>
      <c r="CK58" s="143"/>
      <c r="CL58" s="13">
        <f t="shared" si="32"/>
        <v>15.499999999999989</v>
      </c>
      <c r="CM58" s="62"/>
      <c r="CN58" s="143"/>
      <c r="CO58" s="13">
        <f t="shared" si="22"/>
        <v>15.499999999999989</v>
      </c>
      <c r="CP58" s="62"/>
      <c r="CQ58" s="143"/>
      <c r="CR58" s="13">
        <f t="shared" si="33"/>
        <v>15.499999999999989</v>
      </c>
      <c r="CS58" s="62"/>
      <c r="CT58" s="143"/>
      <c r="CU58" s="14">
        <f t="shared" si="23"/>
        <v>15.499999999999989</v>
      </c>
      <c r="CV58" s="5">
        <f t="shared" si="36"/>
        <v>69.7</v>
      </c>
      <c r="CW58" s="4">
        <f t="shared" si="36"/>
        <v>58.4</v>
      </c>
      <c r="CX58" s="6">
        <f t="shared" si="25"/>
        <v>15.499999999999989</v>
      </c>
      <c r="CY58" s="162">
        <v>350</v>
      </c>
      <c r="CZ58" s="171">
        <f t="shared" si="26"/>
        <v>5424.9999999999964</v>
      </c>
      <c r="DB58" s="2">
        <f t="shared" si="34"/>
        <v>15.499999999999989</v>
      </c>
      <c r="DC58" s="61"/>
      <c r="DD58" s="143"/>
      <c r="DE58" s="149">
        <f t="shared" si="35"/>
        <v>15.499999999999989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53</v>
      </c>
      <c r="G59" s="62">
        <f>-16+60</f>
        <v>44</v>
      </c>
      <c r="H59" s="143">
        <f>5+16+32+1</f>
        <v>54</v>
      </c>
      <c r="I59" s="13">
        <f t="shared" si="0"/>
        <v>43</v>
      </c>
      <c r="J59" s="62"/>
      <c r="K59" s="143"/>
      <c r="L59" s="13">
        <f t="shared" si="1"/>
        <v>43</v>
      </c>
      <c r="M59" s="62">
        <v>40</v>
      </c>
      <c r="N59" s="143">
        <f>3+8+14</f>
        <v>25</v>
      </c>
      <c r="O59" s="13">
        <f t="shared" si="2"/>
        <v>58</v>
      </c>
      <c r="P59" s="62">
        <v>30</v>
      </c>
      <c r="Q59" s="143">
        <f>3+15+36+1</f>
        <v>55</v>
      </c>
      <c r="R59" s="30">
        <f t="shared" si="3"/>
        <v>33</v>
      </c>
      <c r="S59" s="62"/>
      <c r="T59" s="143"/>
      <c r="U59" s="13">
        <f t="shared" si="4"/>
        <v>33</v>
      </c>
      <c r="V59" s="62">
        <v>40</v>
      </c>
      <c r="W59" s="143">
        <f>2+6+21</f>
        <v>29</v>
      </c>
      <c r="X59" s="13">
        <f t="shared" si="5"/>
        <v>44</v>
      </c>
      <c r="Y59" s="62">
        <v>50</v>
      </c>
      <c r="Z59" s="143">
        <f>1+12+12</f>
        <v>25</v>
      </c>
      <c r="AA59" s="13">
        <f t="shared" si="27"/>
        <v>69</v>
      </c>
      <c r="AB59" s="62">
        <v>40</v>
      </c>
      <c r="AC59" s="143">
        <f>4+15+44+1</f>
        <v>64</v>
      </c>
      <c r="AD59" s="13">
        <f t="shared" si="28"/>
        <v>45</v>
      </c>
      <c r="AE59" s="62"/>
      <c r="AF59" s="143"/>
      <c r="AG59" s="13">
        <f t="shared" si="29"/>
        <v>45</v>
      </c>
      <c r="AH59" s="62">
        <v>40</v>
      </c>
      <c r="AI59" s="143">
        <f>3+11+15+1</f>
        <v>30</v>
      </c>
      <c r="AJ59" s="13">
        <f t="shared" si="30"/>
        <v>55</v>
      </c>
      <c r="AK59" s="61">
        <f>-1+50</f>
        <v>49</v>
      </c>
      <c r="AL59" s="143">
        <f>5+21+29</f>
        <v>55</v>
      </c>
      <c r="AM59" s="13">
        <f t="shared" si="6"/>
        <v>49</v>
      </c>
      <c r="AN59" s="62"/>
      <c r="AO59" s="143"/>
      <c r="AP59" s="13">
        <f t="shared" si="7"/>
        <v>49</v>
      </c>
      <c r="AQ59" s="62">
        <v>40</v>
      </c>
      <c r="AR59" s="143">
        <f>13+18</f>
        <v>31</v>
      </c>
      <c r="AS59" s="13">
        <f t="shared" si="8"/>
        <v>58</v>
      </c>
      <c r="AT59" s="62">
        <v>60</v>
      </c>
      <c r="AU59" s="143">
        <f>3+8+23</f>
        <v>34</v>
      </c>
      <c r="AV59" s="13">
        <f t="shared" si="9"/>
        <v>84</v>
      </c>
      <c r="AW59" s="62">
        <v>40</v>
      </c>
      <c r="AX59" s="143">
        <f>3+21+43+1</f>
        <v>68</v>
      </c>
      <c r="AY59" s="13">
        <f t="shared" si="10"/>
        <v>56</v>
      </c>
      <c r="AZ59" s="62"/>
      <c r="BA59" s="143"/>
      <c r="BB59" s="13">
        <f t="shared" si="11"/>
        <v>56</v>
      </c>
      <c r="BC59" s="62">
        <v>40</v>
      </c>
      <c r="BD59" s="143">
        <f>4+9+14</f>
        <v>27</v>
      </c>
      <c r="BE59" s="13">
        <f t="shared" si="12"/>
        <v>69</v>
      </c>
      <c r="BF59" s="62">
        <v>40</v>
      </c>
      <c r="BG59" s="143">
        <f>4+21+24+1</f>
        <v>50</v>
      </c>
      <c r="BH59" s="13">
        <f t="shared" si="13"/>
        <v>59</v>
      </c>
      <c r="BI59" s="62"/>
      <c r="BJ59" s="143"/>
      <c r="BK59" s="13">
        <f t="shared" si="14"/>
        <v>59</v>
      </c>
      <c r="BL59" s="62">
        <v>40</v>
      </c>
      <c r="BM59" s="143">
        <f>3+8+17</f>
        <v>28</v>
      </c>
      <c r="BN59" s="13">
        <f t="shared" si="15"/>
        <v>71</v>
      </c>
      <c r="BO59" s="62">
        <v>60</v>
      </c>
      <c r="BP59" s="143">
        <f>2+13+17</f>
        <v>32</v>
      </c>
      <c r="BQ59" s="13">
        <f t="shared" si="16"/>
        <v>99</v>
      </c>
      <c r="BR59" s="62">
        <v>40</v>
      </c>
      <c r="BS59" s="143">
        <f>5+27+48-1</f>
        <v>79</v>
      </c>
      <c r="BT59" s="13">
        <f t="shared" si="17"/>
        <v>60</v>
      </c>
      <c r="BU59" s="62"/>
      <c r="BV59" s="143"/>
      <c r="BW59" s="13">
        <f t="shared" si="18"/>
        <v>60</v>
      </c>
      <c r="BX59" s="62">
        <v>40</v>
      </c>
      <c r="BY59" s="143">
        <f>5+21+4+12</f>
        <v>42</v>
      </c>
      <c r="BZ59" s="13">
        <f t="shared" si="19"/>
        <v>58</v>
      </c>
      <c r="CA59" s="62">
        <v>40</v>
      </c>
      <c r="CB59" s="143">
        <f>5+15+29</f>
        <v>49</v>
      </c>
      <c r="CC59" s="13">
        <f t="shared" si="20"/>
        <v>49</v>
      </c>
      <c r="CD59" s="62"/>
      <c r="CE59" s="143"/>
      <c r="CF59" s="13">
        <f t="shared" si="21"/>
        <v>49</v>
      </c>
      <c r="CG59" s="62">
        <v>30</v>
      </c>
      <c r="CH59" s="143">
        <f>4+13+14</f>
        <v>31</v>
      </c>
      <c r="CI59" s="13">
        <f t="shared" si="31"/>
        <v>48</v>
      </c>
      <c r="CJ59" s="62">
        <v>20</v>
      </c>
      <c r="CK59" s="143">
        <f>10+28</f>
        <v>38</v>
      </c>
      <c r="CL59" s="13">
        <f t="shared" si="32"/>
        <v>30</v>
      </c>
      <c r="CM59" s="62"/>
      <c r="CN59" s="143"/>
      <c r="CO59" s="13">
        <f t="shared" si="22"/>
        <v>30</v>
      </c>
      <c r="CP59" s="62"/>
      <c r="CQ59" s="143"/>
      <c r="CR59" s="13">
        <f t="shared" si="33"/>
        <v>30</v>
      </c>
      <c r="CS59" s="62"/>
      <c r="CT59" s="143"/>
      <c r="CU59" s="14">
        <f t="shared" si="23"/>
        <v>30</v>
      </c>
      <c r="CV59" s="5">
        <f t="shared" si="36"/>
        <v>823</v>
      </c>
      <c r="CW59" s="4">
        <f t="shared" si="36"/>
        <v>846</v>
      </c>
      <c r="CX59" s="6">
        <f t="shared" si="25"/>
        <v>30</v>
      </c>
      <c r="CY59" s="162">
        <v>214</v>
      </c>
      <c r="CZ59" s="171">
        <f t="shared" si="26"/>
        <v>6420</v>
      </c>
      <c r="DB59" s="2">
        <f t="shared" si="34"/>
        <v>30</v>
      </c>
      <c r="DC59" s="61"/>
      <c r="DD59" s="143"/>
      <c r="DE59" s="149">
        <f t="shared" si="35"/>
        <v>30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46</v>
      </c>
      <c r="G60" s="62">
        <f>-6+24</f>
        <v>18</v>
      </c>
      <c r="H60" s="143">
        <f>46+6+4</f>
        <v>56</v>
      </c>
      <c r="I60" s="13">
        <f t="shared" si="0"/>
        <v>8</v>
      </c>
      <c r="J60" s="62"/>
      <c r="K60" s="143"/>
      <c r="L60" s="13">
        <f t="shared" si="1"/>
        <v>8</v>
      </c>
      <c r="M60" s="62">
        <f>-5-5-6-4-4-24+72</f>
        <v>24</v>
      </c>
      <c r="N60" s="143">
        <f>8+5+5+4</f>
        <v>22</v>
      </c>
      <c r="O60" s="13">
        <f t="shared" si="2"/>
        <v>10</v>
      </c>
      <c r="P60" s="62">
        <f>-20+72</f>
        <v>52</v>
      </c>
      <c r="Q60" s="143">
        <f>10+5+4+4+3</f>
        <v>26</v>
      </c>
      <c r="R60" s="30">
        <f t="shared" si="3"/>
        <v>36</v>
      </c>
      <c r="S60" s="62"/>
      <c r="T60" s="143"/>
      <c r="U60" s="13">
        <f t="shared" si="4"/>
        <v>36</v>
      </c>
      <c r="V60" s="62">
        <v>24</v>
      </c>
      <c r="W60" s="143">
        <f>8+4+1+1</f>
        <v>14</v>
      </c>
      <c r="X60" s="13">
        <f t="shared" si="5"/>
        <v>46</v>
      </c>
      <c r="Y60" s="62">
        <v>48</v>
      </c>
      <c r="Z60" s="143">
        <f>16</f>
        <v>16</v>
      </c>
      <c r="AA60" s="13">
        <f t="shared" si="27"/>
        <v>78</v>
      </c>
      <c r="AB60" s="62">
        <v>24</v>
      </c>
      <c r="AC60" s="143">
        <f>30+2+2+3</f>
        <v>37</v>
      </c>
      <c r="AD60" s="13">
        <f t="shared" si="28"/>
        <v>65</v>
      </c>
      <c r="AE60" s="62"/>
      <c r="AF60" s="143"/>
      <c r="AG60" s="13">
        <f t="shared" si="29"/>
        <v>65</v>
      </c>
      <c r="AH60" s="62">
        <v>24</v>
      </c>
      <c r="AI60" s="143">
        <f>44+3</f>
        <v>47</v>
      </c>
      <c r="AJ60" s="13">
        <f t="shared" si="30"/>
        <v>42</v>
      </c>
      <c r="AK60" s="61">
        <f>-5+24</f>
        <v>19</v>
      </c>
      <c r="AL60" s="143">
        <v>42</v>
      </c>
      <c r="AM60" s="13">
        <f t="shared" si="6"/>
        <v>19</v>
      </c>
      <c r="AN60" s="62">
        <v>24</v>
      </c>
      <c r="AO60" s="143"/>
      <c r="AP60" s="13">
        <f t="shared" si="7"/>
        <v>43</v>
      </c>
      <c r="AQ60" s="62">
        <v>24</v>
      </c>
      <c r="AR60" s="143">
        <f>20+2+1</f>
        <v>23</v>
      </c>
      <c r="AS60" s="13">
        <f t="shared" si="8"/>
        <v>44</v>
      </c>
      <c r="AT60" s="62">
        <v>48</v>
      </c>
      <c r="AU60" s="143">
        <f>14+6</f>
        <v>20</v>
      </c>
      <c r="AV60" s="13">
        <f t="shared" si="9"/>
        <v>72</v>
      </c>
      <c r="AW60" s="62">
        <v>24</v>
      </c>
      <c r="AX60" s="143">
        <f>57+6+5+7+4</f>
        <v>79</v>
      </c>
      <c r="AY60" s="13">
        <f t="shared" si="10"/>
        <v>17</v>
      </c>
      <c r="AZ60" s="62"/>
      <c r="BA60" s="143"/>
      <c r="BB60" s="13">
        <f t="shared" si="11"/>
        <v>17</v>
      </c>
      <c r="BC60" s="62">
        <f>-11+48</f>
        <v>37</v>
      </c>
      <c r="BD60" s="143">
        <f>17+2+4+3</f>
        <v>26</v>
      </c>
      <c r="BE60" s="13">
        <f t="shared" si="12"/>
        <v>28</v>
      </c>
      <c r="BF60" s="62">
        <v>24</v>
      </c>
      <c r="BG60" s="143">
        <f>12+5+4+7</f>
        <v>28</v>
      </c>
      <c r="BH60" s="13">
        <f t="shared" si="13"/>
        <v>24</v>
      </c>
      <c r="BI60" s="62"/>
      <c r="BJ60" s="143"/>
      <c r="BK60" s="13">
        <f t="shared" si="14"/>
        <v>24</v>
      </c>
      <c r="BL60" s="62">
        <v>24</v>
      </c>
      <c r="BM60" s="143">
        <f>14+4+1+1+1+1</f>
        <v>22</v>
      </c>
      <c r="BN60" s="13">
        <f t="shared" si="15"/>
        <v>26</v>
      </c>
      <c r="BO60" s="62">
        <f>-6+48</f>
        <v>42</v>
      </c>
      <c r="BP60" s="143">
        <v>26</v>
      </c>
      <c r="BQ60" s="13">
        <f t="shared" si="16"/>
        <v>42</v>
      </c>
      <c r="BR60" s="62">
        <v>24</v>
      </c>
      <c r="BS60" s="143">
        <f>40+3+5+2+7+2+7</f>
        <v>66</v>
      </c>
      <c r="BT60" s="13">
        <f t="shared" si="17"/>
        <v>0</v>
      </c>
      <c r="BU60" s="62"/>
      <c r="BV60" s="143"/>
      <c r="BW60" s="13">
        <f t="shared" si="18"/>
        <v>0</v>
      </c>
      <c r="BX60" s="62">
        <v>48</v>
      </c>
      <c r="BY60" s="143">
        <v>32</v>
      </c>
      <c r="BZ60" s="13">
        <f t="shared" si="19"/>
        <v>16</v>
      </c>
      <c r="CA60" s="62">
        <f>-6-4-12+24</f>
        <v>2</v>
      </c>
      <c r="CB60" s="143">
        <f>16+6</f>
        <v>22</v>
      </c>
      <c r="CC60" s="13">
        <f t="shared" si="20"/>
        <v>-4</v>
      </c>
      <c r="CD60" s="62">
        <v>48</v>
      </c>
      <c r="CE60" s="143"/>
      <c r="CF60" s="13">
        <f t="shared" si="21"/>
        <v>44</v>
      </c>
      <c r="CG60" s="62">
        <v>24</v>
      </c>
      <c r="CH60" s="143">
        <f>16+2+1+1</f>
        <v>20</v>
      </c>
      <c r="CI60" s="13">
        <f t="shared" si="31"/>
        <v>48</v>
      </c>
      <c r="CJ60" s="62"/>
      <c r="CK60" s="143">
        <f>10</f>
        <v>10</v>
      </c>
      <c r="CL60" s="13">
        <f t="shared" si="32"/>
        <v>38</v>
      </c>
      <c r="CM60" s="62"/>
      <c r="CN60" s="143"/>
      <c r="CO60" s="13">
        <f t="shared" si="22"/>
        <v>38</v>
      </c>
      <c r="CP60" s="62"/>
      <c r="CQ60" s="143"/>
      <c r="CR60" s="13">
        <f t="shared" si="33"/>
        <v>38</v>
      </c>
      <c r="CS60" s="62"/>
      <c r="CT60" s="143"/>
      <c r="CU60" s="14">
        <f t="shared" si="23"/>
        <v>38</v>
      </c>
      <c r="CV60" s="5">
        <f t="shared" si="36"/>
        <v>626</v>
      </c>
      <c r="CW60" s="4">
        <f t="shared" si="36"/>
        <v>634</v>
      </c>
      <c r="CX60" s="6">
        <f t="shared" si="25"/>
        <v>38</v>
      </c>
      <c r="CY60" s="162">
        <v>28</v>
      </c>
      <c r="CZ60" s="171">
        <f t="shared" si="26"/>
        <v>1064</v>
      </c>
      <c r="DB60" s="2">
        <f t="shared" si="34"/>
        <v>38</v>
      </c>
      <c r="DC60" s="61"/>
      <c r="DD60" s="143">
        <f>1+3</f>
        <v>4</v>
      </c>
      <c r="DE60" s="149">
        <f t="shared" si="35"/>
        <v>34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2"/>
      <c r="N61" s="143"/>
      <c r="O61" s="13">
        <f t="shared" si="2"/>
        <v>0</v>
      </c>
      <c r="P61" s="62"/>
      <c r="Q61" s="143"/>
      <c r="R61" s="30">
        <f t="shared" si="3"/>
        <v>0</v>
      </c>
      <c r="S61" s="62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1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62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2"/>
      <c r="N62" s="143"/>
      <c r="O62" s="13">
        <f t="shared" si="2"/>
        <v>0</v>
      </c>
      <c r="P62" s="62"/>
      <c r="Q62" s="143"/>
      <c r="R62" s="30">
        <f t="shared" si="3"/>
        <v>0</v>
      </c>
      <c r="S62" s="62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1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62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2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63</v>
      </c>
      <c r="G63" s="62">
        <f>-250+280+140+33</f>
        <v>203</v>
      </c>
      <c r="H63" s="143">
        <f>20+2+25+45</f>
        <v>92</v>
      </c>
      <c r="I63" s="13">
        <f t="shared" si="0"/>
        <v>174</v>
      </c>
      <c r="J63" s="62"/>
      <c r="K63" s="143"/>
      <c r="L63" s="13">
        <f t="shared" si="1"/>
        <v>174</v>
      </c>
      <c r="M63" s="62">
        <v>420</v>
      </c>
      <c r="N63" s="143">
        <v>85</v>
      </c>
      <c r="O63" s="13">
        <f t="shared" si="2"/>
        <v>509</v>
      </c>
      <c r="P63" s="62"/>
      <c r="Q63" s="143">
        <f>20+2+90</f>
        <v>112</v>
      </c>
      <c r="R63" s="30">
        <f t="shared" si="3"/>
        <v>397</v>
      </c>
      <c r="S63" s="62"/>
      <c r="T63" s="143"/>
      <c r="U63" s="13">
        <f t="shared" si="4"/>
        <v>397</v>
      </c>
      <c r="V63" s="62">
        <v>140</v>
      </c>
      <c r="W63" s="143">
        <f>4+60</f>
        <v>64</v>
      </c>
      <c r="X63" s="13">
        <f t="shared" si="5"/>
        <v>473</v>
      </c>
      <c r="Y63" s="62"/>
      <c r="Z63" s="143">
        <f>2+160</f>
        <v>162</v>
      </c>
      <c r="AA63" s="13">
        <f t="shared" si="27"/>
        <v>311</v>
      </c>
      <c r="AB63" s="62">
        <v>280</v>
      </c>
      <c r="AC63" s="143">
        <f>40+135</f>
        <v>175</v>
      </c>
      <c r="AD63" s="13">
        <f t="shared" si="28"/>
        <v>416</v>
      </c>
      <c r="AE63" s="62"/>
      <c r="AF63" s="143"/>
      <c r="AG63" s="13">
        <f t="shared" si="29"/>
        <v>416</v>
      </c>
      <c r="AH63" s="62">
        <v>280</v>
      </c>
      <c r="AI63" s="143">
        <v>165</v>
      </c>
      <c r="AJ63" s="13">
        <f t="shared" si="30"/>
        <v>531</v>
      </c>
      <c r="AK63" s="61"/>
      <c r="AL63" s="143">
        <f>30+8+75</f>
        <v>113</v>
      </c>
      <c r="AM63" s="13">
        <f t="shared" si="6"/>
        <v>418</v>
      </c>
      <c r="AN63" s="62"/>
      <c r="AO63" s="143"/>
      <c r="AP63" s="13">
        <f t="shared" si="7"/>
        <v>418</v>
      </c>
      <c r="AQ63" s="62"/>
      <c r="AR63" s="143">
        <f>23+109</f>
        <v>132</v>
      </c>
      <c r="AS63" s="13">
        <f t="shared" si="8"/>
        <v>286</v>
      </c>
      <c r="AT63" s="62">
        <v>280</v>
      </c>
      <c r="AU63" s="143">
        <f>1+110</f>
        <v>111</v>
      </c>
      <c r="AV63" s="13">
        <f t="shared" si="9"/>
        <v>455</v>
      </c>
      <c r="AW63" s="62"/>
      <c r="AX63" s="143">
        <f>15+10+90</f>
        <v>115</v>
      </c>
      <c r="AY63" s="13">
        <f t="shared" si="10"/>
        <v>340</v>
      </c>
      <c r="AZ63" s="62"/>
      <c r="BA63" s="143"/>
      <c r="BB63" s="13">
        <f t="shared" si="11"/>
        <v>340</v>
      </c>
      <c r="BC63" s="62">
        <v>140</v>
      </c>
      <c r="BD63" s="143">
        <f>4+56</f>
        <v>60</v>
      </c>
      <c r="BE63" s="13">
        <f t="shared" si="12"/>
        <v>420</v>
      </c>
      <c r="BF63" s="62">
        <v>140</v>
      </c>
      <c r="BG63" s="143">
        <f>10+115</f>
        <v>125</v>
      </c>
      <c r="BH63" s="13">
        <f t="shared" si="13"/>
        <v>435</v>
      </c>
      <c r="BI63" s="62"/>
      <c r="BJ63" s="143"/>
      <c r="BK63" s="13">
        <f t="shared" si="14"/>
        <v>435</v>
      </c>
      <c r="BL63" s="62"/>
      <c r="BM63" s="143">
        <f>10+55</f>
        <v>65</v>
      </c>
      <c r="BN63" s="13">
        <f t="shared" si="15"/>
        <v>370</v>
      </c>
      <c r="BO63" s="62">
        <v>280</v>
      </c>
      <c r="BP63" s="143">
        <f>7+210</f>
        <v>217</v>
      </c>
      <c r="BQ63" s="13">
        <f t="shared" si="16"/>
        <v>433</v>
      </c>
      <c r="BR63" s="62">
        <v>140</v>
      </c>
      <c r="BS63" s="143">
        <f>10+8+125</f>
        <v>143</v>
      </c>
      <c r="BT63" s="13">
        <f t="shared" si="17"/>
        <v>430</v>
      </c>
      <c r="BU63" s="62"/>
      <c r="BV63" s="143"/>
      <c r="BW63" s="13">
        <f t="shared" si="18"/>
        <v>430</v>
      </c>
      <c r="BX63" s="62"/>
      <c r="BY63" s="143">
        <f>135</f>
        <v>135</v>
      </c>
      <c r="BZ63" s="13">
        <f t="shared" si="19"/>
        <v>295</v>
      </c>
      <c r="CA63" s="62"/>
      <c r="CB63" s="143">
        <f>10+2+85</f>
        <v>97</v>
      </c>
      <c r="CC63" s="13">
        <f t="shared" si="20"/>
        <v>198</v>
      </c>
      <c r="CD63" s="62"/>
      <c r="CE63" s="143"/>
      <c r="CF63" s="13">
        <f t="shared" si="21"/>
        <v>198</v>
      </c>
      <c r="CG63" s="62">
        <v>48</v>
      </c>
      <c r="CH63" s="143">
        <f>20+5+100</f>
        <v>125</v>
      </c>
      <c r="CI63" s="13">
        <f t="shared" si="31"/>
        <v>121</v>
      </c>
      <c r="CJ63" s="62">
        <f>-20+149</f>
        <v>129</v>
      </c>
      <c r="CK63" s="143">
        <f>20+1+100</f>
        <v>121</v>
      </c>
      <c r="CL63" s="13">
        <f t="shared" si="32"/>
        <v>129</v>
      </c>
      <c r="CM63" s="62"/>
      <c r="CN63" s="143"/>
      <c r="CO63" s="13">
        <f t="shared" si="22"/>
        <v>129</v>
      </c>
      <c r="CP63" s="62"/>
      <c r="CQ63" s="143"/>
      <c r="CR63" s="13">
        <f t="shared" si="33"/>
        <v>129</v>
      </c>
      <c r="CS63" s="62"/>
      <c r="CT63" s="143"/>
      <c r="CU63" s="14">
        <f t="shared" si="23"/>
        <v>129</v>
      </c>
      <c r="CV63" s="5">
        <f t="shared" si="36"/>
        <v>2480</v>
      </c>
      <c r="CW63" s="4">
        <f t="shared" si="36"/>
        <v>2414</v>
      </c>
      <c r="CX63" s="6">
        <f t="shared" si="25"/>
        <v>129</v>
      </c>
      <c r="CY63" s="162">
        <v>64</v>
      </c>
      <c r="CZ63" s="171">
        <f t="shared" si="26"/>
        <v>8256</v>
      </c>
      <c r="DB63" s="2">
        <f t="shared" si="34"/>
        <v>129</v>
      </c>
      <c r="DC63" s="61"/>
      <c r="DD63" s="143"/>
      <c r="DE63" s="149">
        <f t="shared" si="35"/>
        <v>129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5.6999999999999984</v>
      </c>
      <c r="G64" s="62"/>
      <c r="H64" s="143"/>
      <c r="I64" s="13">
        <f t="shared" si="0"/>
        <v>5.6999999999999984</v>
      </c>
      <c r="J64" s="62"/>
      <c r="K64" s="143"/>
      <c r="L64" s="13">
        <f t="shared" si="1"/>
        <v>5.6999999999999984</v>
      </c>
      <c r="M64" s="62"/>
      <c r="N64" s="143"/>
      <c r="O64" s="13">
        <f t="shared" si="2"/>
        <v>5.6999999999999984</v>
      </c>
      <c r="P64" s="62"/>
      <c r="Q64" s="143"/>
      <c r="R64" s="30">
        <f t="shared" si="3"/>
        <v>5.6999999999999984</v>
      </c>
      <c r="S64" s="62"/>
      <c r="T64" s="143"/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2"/>
      <c r="AI64" s="143"/>
      <c r="AJ64" s="13">
        <f t="shared" si="30"/>
        <v>5.6999999999999984</v>
      </c>
      <c r="AK64" s="61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43"/>
      <c r="BB64" s="13">
        <f t="shared" si="11"/>
        <v>5.6999999999999984</v>
      </c>
      <c r="BC64" s="62"/>
      <c r="BD64" s="143"/>
      <c r="BE64" s="13">
        <f t="shared" si="12"/>
        <v>5.6999999999999984</v>
      </c>
      <c r="BF64" s="62"/>
      <c r="BG64" s="143"/>
      <c r="BH64" s="13">
        <f t="shared" si="13"/>
        <v>5.6999999999999984</v>
      </c>
      <c r="BI64" s="62"/>
      <c r="BJ64" s="143"/>
      <c r="BK64" s="13">
        <f t="shared" si="14"/>
        <v>5.6999999999999984</v>
      </c>
      <c r="BL64" s="62"/>
      <c r="BM64" s="143"/>
      <c r="BN64" s="13">
        <f t="shared" si="15"/>
        <v>5.6999999999999984</v>
      </c>
      <c r="BO64" s="62"/>
      <c r="BP64" s="143"/>
      <c r="BQ64" s="13">
        <f t="shared" si="16"/>
        <v>5.6999999999999984</v>
      </c>
      <c r="BR64" s="62"/>
      <c r="BS64" s="143"/>
      <c r="BT64" s="13">
        <f t="shared" si="17"/>
        <v>5.6999999999999984</v>
      </c>
      <c r="BU64" s="62"/>
      <c r="BV64" s="143"/>
      <c r="BW64" s="13">
        <f t="shared" si="18"/>
        <v>5.6999999999999984</v>
      </c>
      <c r="BX64" s="62"/>
      <c r="BY64" s="143"/>
      <c r="BZ64" s="13">
        <f t="shared" si="19"/>
        <v>5.6999999999999984</v>
      </c>
      <c r="CA64" s="62"/>
      <c r="CB64" s="143"/>
      <c r="CC64" s="13">
        <f t="shared" si="20"/>
        <v>5.6999999999999984</v>
      </c>
      <c r="CD64" s="62"/>
      <c r="CE64" s="143"/>
      <c r="CF64" s="13">
        <f t="shared" si="21"/>
        <v>5.6999999999999984</v>
      </c>
      <c r="CG64" s="62"/>
      <c r="CH64" s="143"/>
      <c r="CI64" s="13">
        <f t="shared" si="31"/>
        <v>5.6999999999999984</v>
      </c>
      <c r="CJ64" s="62"/>
      <c r="CK64" s="143"/>
      <c r="CL64" s="13">
        <f t="shared" si="32"/>
        <v>5.6999999999999984</v>
      </c>
      <c r="CM64" s="62"/>
      <c r="CN64" s="143"/>
      <c r="CO64" s="13">
        <f t="shared" si="22"/>
        <v>5.6999999999999984</v>
      </c>
      <c r="CP64" s="62"/>
      <c r="CQ64" s="143"/>
      <c r="CR64" s="13">
        <f t="shared" si="33"/>
        <v>5.6999999999999984</v>
      </c>
      <c r="CS64" s="62"/>
      <c r="CT64" s="143"/>
      <c r="CU64" s="14">
        <f t="shared" si="23"/>
        <v>5.6999999999999984</v>
      </c>
      <c r="CV64" s="5">
        <f t="shared" si="36"/>
        <v>0</v>
      </c>
      <c r="CW64" s="4">
        <f t="shared" si="36"/>
        <v>0</v>
      </c>
      <c r="CX64" s="6">
        <f t="shared" si="25"/>
        <v>5.6999999999999984</v>
      </c>
      <c r="CY64" s="162">
        <v>430</v>
      </c>
      <c r="CZ64" s="171">
        <f t="shared" si="26"/>
        <v>2450.9999999999991</v>
      </c>
      <c r="DB64" s="2">
        <f t="shared" si="34"/>
        <v>5.6999999999999984</v>
      </c>
      <c r="DC64" s="61"/>
      <c r="DD64" s="143"/>
      <c r="DE64" s="149">
        <f t="shared" si="35"/>
        <v>5.6999999999999984</v>
      </c>
    </row>
    <row r="65" spans="1:109" ht="15.75" customHeight="1">
      <c r="A65" s="33"/>
      <c r="B65" s="7" t="s">
        <v>278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2"/>
      <c r="N65" s="143"/>
      <c r="O65" s="13">
        <f t="shared" si="2"/>
        <v>0</v>
      </c>
      <c r="P65" s="62"/>
      <c r="Q65" s="143"/>
      <c r="R65" s="30">
        <f t="shared" si="3"/>
        <v>0</v>
      </c>
      <c r="S65" s="62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1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62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>
        <v>18</v>
      </c>
      <c r="BS65" s="143"/>
      <c r="BT65" s="13">
        <f t="shared" si="17"/>
        <v>18</v>
      </c>
      <c r="BU65" s="62"/>
      <c r="BV65" s="143"/>
      <c r="BW65" s="13">
        <f t="shared" si="18"/>
        <v>18</v>
      </c>
      <c r="BX65" s="62"/>
      <c r="BY65" s="190">
        <v>16</v>
      </c>
      <c r="BZ65" s="13">
        <f t="shared" si="19"/>
        <v>2</v>
      </c>
      <c r="CA65" s="62">
        <f>12+2</f>
        <v>14</v>
      </c>
      <c r="CB65" s="143">
        <f>2+2+4</f>
        <v>8</v>
      </c>
      <c r="CC65" s="13">
        <f t="shared" si="20"/>
        <v>8</v>
      </c>
      <c r="CD65" s="62"/>
      <c r="CE65" s="143"/>
      <c r="CF65" s="13">
        <f t="shared" si="21"/>
        <v>8</v>
      </c>
      <c r="CG65" s="62">
        <v>3</v>
      </c>
      <c r="CH65" s="143">
        <f>6</f>
        <v>6</v>
      </c>
      <c r="CI65" s="13">
        <f t="shared" si="31"/>
        <v>5</v>
      </c>
      <c r="CJ65" s="62">
        <v>3</v>
      </c>
      <c r="CK65" s="143">
        <v>3</v>
      </c>
      <c r="CL65" s="13">
        <f t="shared" si="32"/>
        <v>5</v>
      </c>
      <c r="CM65" s="62"/>
      <c r="CN65" s="143"/>
      <c r="CO65" s="13">
        <f t="shared" si="22"/>
        <v>5</v>
      </c>
      <c r="CP65" s="62"/>
      <c r="CQ65" s="143"/>
      <c r="CR65" s="13">
        <f t="shared" si="33"/>
        <v>5</v>
      </c>
      <c r="CS65" s="62"/>
      <c r="CT65" s="143"/>
      <c r="CU65" s="14">
        <f t="shared" si="23"/>
        <v>5</v>
      </c>
      <c r="CV65" s="5">
        <f t="shared" si="36"/>
        <v>38</v>
      </c>
      <c r="CW65" s="4">
        <f t="shared" si="36"/>
        <v>33</v>
      </c>
      <c r="CX65" s="6">
        <f t="shared" si="25"/>
        <v>5</v>
      </c>
      <c r="CY65" s="162">
        <v>95</v>
      </c>
      <c r="CZ65" s="171">
        <f t="shared" si="26"/>
        <v>475</v>
      </c>
      <c r="DB65" s="2">
        <f t="shared" si="34"/>
        <v>5</v>
      </c>
      <c r="DC65" s="61"/>
      <c r="DD65" s="143">
        <v>2</v>
      </c>
      <c r="DE65" s="149">
        <f t="shared" si="35"/>
        <v>3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2"/>
      <c r="N66" s="143"/>
      <c r="O66" s="13">
        <f t="shared" si="2"/>
        <v>0</v>
      </c>
      <c r="P66" s="62">
        <v>2</v>
      </c>
      <c r="Q66" s="143"/>
      <c r="R66" s="30">
        <f t="shared" si="3"/>
        <v>2</v>
      </c>
      <c r="S66" s="62"/>
      <c r="T66" s="143"/>
      <c r="U66" s="13">
        <f t="shared" si="4"/>
        <v>2</v>
      </c>
      <c r="V66" s="62"/>
      <c r="W66" s="143">
        <v>2</v>
      </c>
      <c r="X66" s="13">
        <f t="shared" si="5"/>
        <v>0</v>
      </c>
      <c r="Y66" s="62">
        <v>2</v>
      </c>
      <c r="Z66" s="143"/>
      <c r="AA66" s="13">
        <f t="shared" si="27"/>
        <v>2</v>
      </c>
      <c r="AB66" s="62"/>
      <c r="AC66" s="143">
        <v>2</v>
      </c>
      <c r="AD66" s="13">
        <f t="shared" si="28"/>
        <v>0</v>
      </c>
      <c r="AE66" s="62"/>
      <c r="AF66" s="143"/>
      <c r="AG66" s="13">
        <f t="shared" si="29"/>
        <v>0</v>
      </c>
      <c r="AH66" s="62"/>
      <c r="AI66" s="143"/>
      <c r="AJ66" s="13">
        <f t="shared" si="30"/>
        <v>0</v>
      </c>
      <c r="AK66" s="61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/>
      <c r="BD66" s="143"/>
      <c r="BE66" s="13">
        <f t="shared" si="12"/>
        <v>0</v>
      </c>
      <c r="BF66" s="62"/>
      <c r="BG66" s="143"/>
      <c r="BH66" s="13">
        <f t="shared" si="13"/>
        <v>0</v>
      </c>
      <c r="BI66" s="62"/>
      <c r="BJ66" s="143"/>
      <c r="BK66" s="13">
        <f t="shared" si="14"/>
        <v>0</v>
      </c>
      <c r="BL66" s="62"/>
      <c r="BM66" s="143"/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/>
      <c r="BY66" s="143"/>
      <c r="BZ66" s="13">
        <f t="shared" si="19"/>
        <v>0</v>
      </c>
      <c r="CA66" s="62"/>
      <c r="CB66" s="143"/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4</v>
      </c>
      <c r="CW66" s="4">
        <f t="shared" si="36"/>
        <v>4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2"/>
      <c r="N67" s="143"/>
      <c r="O67" s="13">
        <f t="shared" si="2"/>
        <v>0</v>
      </c>
      <c r="P67" s="62"/>
      <c r="Q67" s="143"/>
      <c r="R67" s="30">
        <f t="shared" si="3"/>
        <v>0</v>
      </c>
      <c r="S67" s="62"/>
      <c r="T67" s="143"/>
      <c r="U67" s="13">
        <f t="shared" si="4"/>
        <v>0</v>
      </c>
      <c r="V67" s="62"/>
      <c r="W67" s="143"/>
      <c r="X67" s="13">
        <f t="shared" si="5"/>
        <v>0</v>
      </c>
      <c r="Y67" s="62"/>
      <c r="Z67" s="143"/>
      <c r="AA67" s="13">
        <f t="shared" si="27"/>
        <v>0</v>
      </c>
      <c r="AB67" s="62"/>
      <c r="AC67" s="143"/>
      <c r="AD67" s="13">
        <f t="shared" si="28"/>
        <v>0</v>
      </c>
      <c r="AE67" s="62"/>
      <c r="AF67" s="143"/>
      <c r="AG67" s="13">
        <f t="shared" si="29"/>
        <v>0</v>
      </c>
      <c r="AH67" s="62"/>
      <c r="AI67" s="143"/>
      <c r="AJ67" s="13">
        <f t="shared" si="30"/>
        <v>0</v>
      </c>
      <c r="AK67" s="61"/>
      <c r="AL67" s="143"/>
      <c r="AM67" s="13">
        <f t="shared" si="6"/>
        <v>0</v>
      </c>
      <c r="AN67" s="62"/>
      <c r="AO67" s="143"/>
      <c r="AP67" s="13">
        <f t="shared" si="7"/>
        <v>0</v>
      </c>
      <c r="AQ67" s="62"/>
      <c r="AR67" s="143"/>
      <c r="AS67" s="13">
        <f t="shared" si="8"/>
        <v>0</v>
      </c>
      <c r="AT67" s="62"/>
      <c r="AU67" s="143"/>
      <c r="AV67" s="13">
        <f t="shared" si="9"/>
        <v>0</v>
      </c>
      <c r="AW67" s="62"/>
      <c r="AX67" s="143"/>
      <c r="AY67" s="13">
        <f t="shared" si="10"/>
        <v>0</v>
      </c>
      <c r="AZ67" s="62"/>
      <c r="BA67" s="143"/>
      <c r="BB67" s="13">
        <f t="shared" si="11"/>
        <v>0</v>
      </c>
      <c r="BC67" s="62"/>
      <c r="BD67" s="143"/>
      <c r="BE67" s="13">
        <f t="shared" si="12"/>
        <v>0</v>
      </c>
      <c r="BF67" s="62"/>
      <c r="BG67" s="143"/>
      <c r="BH67" s="13">
        <f t="shared" si="13"/>
        <v>0</v>
      </c>
      <c r="BI67" s="62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0</v>
      </c>
      <c r="CW67" s="4">
        <f t="shared" si="36"/>
        <v>0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2"/>
      <c r="N68" s="143"/>
      <c r="O68" s="13">
        <f>L68+M68-N68</f>
        <v>0</v>
      </c>
      <c r="P68" s="62"/>
      <c r="Q68" s="143"/>
      <c r="R68" s="13">
        <f>O68+P68-Q68</f>
        <v>0</v>
      </c>
      <c r="S68" s="62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1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62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178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2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1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62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250</v>
      </c>
      <c r="C70" s="104" t="s">
        <v>21</v>
      </c>
      <c r="D70" s="34"/>
      <c r="E70" s="34"/>
      <c r="F70" s="14">
        <v>0</v>
      </c>
      <c r="G70" s="62"/>
      <c r="H70" s="143"/>
      <c r="I70" s="13">
        <f>F70+G70-H70</f>
        <v>0</v>
      </c>
      <c r="J70" s="62"/>
      <c r="K70" s="143"/>
      <c r="L70" s="13">
        <f>I70+J70-K70</f>
        <v>0</v>
      </c>
      <c r="M70" s="62"/>
      <c r="N70" s="143"/>
      <c r="O70" s="13">
        <f>L70+M70-N70</f>
        <v>0</v>
      </c>
      <c r="P70" s="62"/>
      <c r="Q70" s="143"/>
      <c r="R70" s="30">
        <f>O70+P70-Q70</f>
        <v>0</v>
      </c>
      <c r="S70" s="62"/>
      <c r="T70" s="143"/>
      <c r="U70" s="13">
        <f>R70+S70-T70</f>
        <v>0</v>
      </c>
      <c r="V70" s="62"/>
      <c r="W70" s="143"/>
      <c r="X70" s="13">
        <f>U70+V70-W70</f>
        <v>0</v>
      </c>
      <c r="Y70" s="62"/>
      <c r="Z70" s="143"/>
      <c r="AA70" s="13">
        <f>X70+Y70-Z70</f>
        <v>0</v>
      </c>
      <c r="AB70" s="62"/>
      <c r="AC70" s="143"/>
      <c r="AD70" s="13">
        <f>AA70+AB70-AC70</f>
        <v>0</v>
      </c>
      <c r="AE70" s="62"/>
      <c r="AF70" s="143"/>
      <c r="AG70" s="13">
        <f>AD70+AE70-AF70</f>
        <v>0</v>
      </c>
      <c r="AH70" s="62"/>
      <c r="AI70" s="143"/>
      <c r="AJ70" s="13">
        <f>AG70+AH70-AI70</f>
        <v>0</v>
      </c>
      <c r="AK70" s="61"/>
      <c r="AL70" s="143"/>
      <c r="AM70" s="13">
        <f>AJ70+AK70-AL70</f>
        <v>0</v>
      </c>
      <c r="AN70" s="62"/>
      <c r="AO70" s="143"/>
      <c r="AP70" s="13">
        <f>AM70+AN70-AO70</f>
        <v>0</v>
      </c>
      <c r="AQ70" s="62"/>
      <c r="AR70" s="143"/>
      <c r="AS70" s="13">
        <f>AP70+AQ70-AR70</f>
        <v>0</v>
      </c>
      <c r="AT70" s="62"/>
      <c r="AU70" s="143"/>
      <c r="AV70" s="13">
        <f>AS70+AT70-AU70</f>
        <v>0</v>
      </c>
      <c r="AW70" s="62"/>
      <c r="AX70" s="143"/>
      <c r="AY70" s="13">
        <f>AV70+AW70-AX70</f>
        <v>0</v>
      </c>
      <c r="AZ70" s="62"/>
      <c r="BA70" s="143"/>
      <c r="BB70" s="13">
        <f>AY70+AZ70-BA70</f>
        <v>0</v>
      </c>
      <c r="BC70" s="62"/>
      <c r="BD70" s="143"/>
      <c r="BE70" s="13">
        <f>BB70+BC70-BD70</f>
        <v>0</v>
      </c>
      <c r="BF70" s="62"/>
      <c r="BG70" s="143"/>
      <c r="BH70" s="13">
        <f>BE70+BF70-BG70</f>
        <v>0</v>
      </c>
      <c r="BI70" s="62"/>
      <c r="BJ70" s="143"/>
      <c r="BK70" s="13">
        <f>BH70+BI70-BJ70</f>
        <v>0</v>
      </c>
      <c r="BL70" s="62"/>
      <c r="BM70" s="143"/>
      <c r="BN70" s="13">
        <f>BK70+BL70-BM70</f>
        <v>0</v>
      </c>
      <c r="BO70" s="62"/>
      <c r="BP70" s="143"/>
      <c r="BQ70" s="13">
        <f>BN70+BO70-BP70</f>
        <v>0</v>
      </c>
      <c r="BR70" s="62"/>
      <c r="BS70" s="143"/>
      <c r="BT70" s="13">
        <f t="shared" si="37"/>
        <v>0</v>
      </c>
      <c r="BU70" s="62"/>
      <c r="BV70" s="143"/>
      <c r="BW70" s="13">
        <f>BT70+BU70-BV70</f>
        <v>0</v>
      </c>
      <c r="BX70" s="62"/>
      <c r="BY70" s="143"/>
      <c r="BZ70" s="13">
        <f t="shared" si="38"/>
        <v>0</v>
      </c>
      <c r="CA70" s="62"/>
      <c r="CB70" s="143"/>
      <c r="CC70" s="13">
        <f t="shared" si="39"/>
        <v>0</v>
      </c>
      <c r="CD70" s="62"/>
      <c r="CE70" s="143"/>
      <c r="CF70" s="13">
        <f t="shared" si="40"/>
        <v>0</v>
      </c>
      <c r="CG70" s="62"/>
      <c r="CH70" s="143"/>
      <c r="CI70" s="13">
        <f t="shared" ref="CI70:CI85" si="46">CF70+CG70-CH70</f>
        <v>0</v>
      </c>
      <c r="CJ70" s="62"/>
      <c r="CK70" s="143"/>
      <c r="CL70" s="13">
        <f t="shared" ref="CL70:CL85" si="47">CI70+CJ70-CK70</f>
        <v>0</v>
      </c>
      <c r="CM70" s="62"/>
      <c r="CN70" s="143"/>
      <c r="CO70" s="13">
        <f t="shared" si="41"/>
        <v>0</v>
      </c>
      <c r="CP70" s="62"/>
      <c r="CQ70" s="143"/>
      <c r="CR70" s="13">
        <f t="shared" ref="CR70:CR85" si="48">CO70+CP70-CQ70</f>
        <v>0</v>
      </c>
      <c r="CS70" s="62"/>
      <c r="CT70" s="143"/>
      <c r="CU70" s="14">
        <f t="shared" si="42"/>
        <v>0</v>
      </c>
      <c r="CV70" s="5">
        <f t="shared" si="43"/>
        <v>0</v>
      </c>
      <c r="CW70" s="4">
        <f t="shared" si="43"/>
        <v>0</v>
      </c>
      <c r="CX70" s="6">
        <f t="shared" si="44"/>
        <v>0</v>
      </c>
      <c r="CY70" s="162">
        <v>0</v>
      </c>
      <c r="CZ70" s="171">
        <f t="shared" si="45"/>
        <v>0</v>
      </c>
      <c r="DB70" s="2">
        <f t="shared" ref="DB70:DB93" si="49">CU70</f>
        <v>0</v>
      </c>
      <c r="DC70" s="62"/>
      <c r="DD70" s="143"/>
      <c r="DE70" s="149">
        <f t="shared" si="35"/>
        <v>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3</v>
      </c>
      <c r="G71" s="62"/>
      <c r="H71" s="143">
        <v>3</v>
      </c>
      <c r="I71" s="13">
        <f>F71+G71-H71</f>
        <v>0</v>
      </c>
      <c r="J71" s="62"/>
      <c r="K71" s="143"/>
      <c r="L71" s="13">
        <f>I71+J71-K71</f>
        <v>0</v>
      </c>
      <c r="M71" s="62"/>
      <c r="N71" s="143"/>
      <c r="O71" s="13">
        <f>L71+M71-N71</f>
        <v>0</v>
      </c>
      <c r="P71" s="62"/>
      <c r="Q71" s="143"/>
      <c r="R71" s="13">
        <f>O71+P71-Q71</f>
        <v>0</v>
      </c>
      <c r="S71" s="62"/>
      <c r="T71" s="143"/>
      <c r="U71" s="13">
        <f>R71+S71-T71</f>
        <v>0</v>
      </c>
      <c r="V71" s="62">
        <v>32</v>
      </c>
      <c r="W71" s="143">
        <v>2</v>
      </c>
      <c r="X71" s="13">
        <f>U71+V71-W71</f>
        <v>30</v>
      </c>
      <c r="Y71" s="62"/>
      <c r="Z71" s="143"/>
      <c r="AA71" s="13">
        <f>X71+Y71-Z71</f>
        <v>30</v>
      </c>
      <c r="AB71" s="62"/>
      <c r="AC71" s="143"/>
      <c r="AD71" s="13">
        <f>AA71+AB71-AC71</f>
        <v>30</v>
      </c>
      <c r="AE71" s="62"/>
      <c r="AF71" s="143"/>
      <c r="AG71" s="13">
        <f>AD71+AE71-AF71</f>
        <v>30</v>
      </c>
      <c r="AH71" s="62">
        <v>32</v>
      </c>
      <c r="AI71" s="143"/>
      <c r="AJ71" s="13">
        <f>AG71+AH71-AI71</f>
        <v>62</v>
      </c>
      <c r="AK71" s="61"/>
      <c r="AL71" s="143">
        <f>13+9+9+8</f>
        <v>39</v>
      </c>
      <c r="AM71" s="13">
        <f>AJ71+AK71-AL71</f>
        <v>23</v>
      </c>
      <c r="AN71" s="62"/>
      <c r="AO71" s="143"/>
      <c r="AP71" s="13">
        <f>AM71+AN71-AO71</f>
        <v>23</v>
      </c>
      <c r="AQ71" s="62"/>
      <c r="AR71" s="143"/>
      <c r="AS71" s="13">
        <f>AP71+AQ71-AR71</f>
        <v>23</v>
      </c>
      <c r="AT71" s="62"/>
      <c r="AU71" s="143"/>
      <c r="AV71" s="13">
        <f>AS71+AT71-AU71</f>
        <v>23</v>
      </c>
      <c r="AW71" s="62"/>
      <c r="AX71" s="143"/>
      <c r="AY71" s="13">
        <f>AV71+AW71-AX71</f>
        <v>23</v>
      </c>
      <c r="AZ71" s="62"/>
      <c r="BA71" s="143"/>
      <c r="BB71" s="13">
        <f>AY71+AZ71-BA71</f>
        <v>23</v>
      </c>
      <c r="BC71" s="62">
        <v>-1</v>
      </c>
      <c r="BD71" s="143">
        <f>2+2</f>
        <v>4</v>
      </c>
      <c r="BE71" s="13">
        <f>BB71+BC71-BD71</f>
        <v>18</v>
      </c>
      <c r="BF71" s="62"/>
      <c r="BG71" s="143">
        <f>4+4</f>
        <v>8</v>
      </c>
      <c r="BH71" s="13">
        <f>BE71+BF71-BG71</f>
        <v>10</v>
      </c>
      <c r="BI71" s="62"/>
      <c r="BJ71" s="143"/>
      <c r="BK71" s="13">
        <f>BH71+BI71-BJ71</f>
        <v>10</v>
      </c>
      <c r="BL71" s="62"/>
      <c r="BM71" s="143"/>
      <c r="BN71" s="13">
        <f>BK71+BL71-BM71</f>
        <v>10</v>
      </c>
      <c r="BO71" s="62"/>
      <c r="BP71" s="143"/>
      <c r="BQ71" s="13">
        <f>BN71+BO71-BP71</f>
        <v>10</v>
      </c>
      <c r="BR71" s="62"/>
      <c r="BS71" s="143">
        <v>9</v>
      </c>
      <c r="BT71" s="13">
        <f t="shared" si="37"/>
        <v>1</v>
      </c>
      <c r="BU71" s="62"/>
      <c r="BV71" s="143"/>
      <c r="BW71" s="13">
        <f>BT71+BU71-BV71</f>
        <v>1</v>
      </c>
      <c r="BX71" s="62"/>
      <c r="BY71" s="143"/>
      <c r="BZ71" s="13">
        <f t="shared" si="38"/>
        <v>1</v>
      </c>
      <c r="CA71" s="62">
        <v>32</v>
      </c>
      <c r="CB71" s="143">
        <f>8+9</f>
        <v>17</v>
      </c>
      <c r="CC71" s="13">
        <f t="shared" si="39"/>
        <v>16</v>
      </c>
      <c r="CD71" s="62"/>
      <c r="CE71" s="143"/>
      <c r="CF71" s="13">
        <f t="shared" si="40"/>
        <v>16</v>
      </c>
      <c r="CG71" s="62"/>
      <c r="CH71" s="143"/>
      <c r="CI71" s="13">
        <f t="shared" si="46"/>
        <v>16</v>
      </c>
      <c r="CJ71" s="62"/>
      <c r="CK71" s="143"/>
      <c r="CL71" s="13">
        <f t="shared" si="47"/>
        <v>16</v>
      </c>
      <c r="CM71" s="62"/>
      <c r="CN71" s="143"/>
      <c r="CO71" s="13">
        <f t="shared" si="41"/>
        <v>16</v>
      </c>
      <c r="CP71" s="62"/>
      <c r="CQ71" s="143"/>
      <c r="CR71" s="13">
        <f t="shared" si="48"/>
        <v>16</v>
      </c>
      <c r="CS71" s="62"/>
      <c r="CT71" s="143"/>
      <c r="CU71" s="14">
        <f t="shared" si="42"/>
        <v>16</v>
      </c>
      <c r="CV71" s="5">
        <f t="shared" si="43"/>
        <v>95</v>
      </c>
      <c r="CW71" s="4">
        <f t="shared" si="43"/>
        <v>82</v>
      </c>
      <c r="CX71" s="6">
        <f t="shared" si="44"/>
        <v>16</v>
      </c>
      <c r="CY71" s="162">
        <v>141</v>
      </c>
      <c r="CZ71" s="171">
        <f t="shared" si="45"/>
        <v>2256</v>
      </c>
      <c r="DB71" s="2">
        <f t="shared" si="49"/>
        <v>16</v>
      </c>
      <c r="DC71" s="62"/>
      <c r="DD71" s="143"/>
      <c r="DE71" s="149">
        <f t="shared" ref="DE71:DE93" si="50">DC71+DB71-DD71</f>
        <v>16</v>
      </c>
    </row>
    <row r="72" spans="1:109" ht="15.75" customHeight="1">
      <c r="A72" s="33"/>
      <c r="B72" s="157" t="s">
        <v>208</v>
      </c>
      <c r="C72" s="158" t="s">
        <v>21</v>
      </c>
      <c r="D72" s="159"/>
      <c r="E72" s="159"/>
      <c r="F72" s="14">
        <v>0</v>
      </c>
      <c r="G72" s="62"/>
      <c r="H72" s="143"/>
      <c r="I72" s="13">
        <f>F72+G72-H72</f>
        <v>0</v>
      </c>
      <c r="J72" s="62"/>
      <c r="K72" s="143"/>
      <c r="L72" s="13">
        <f>I72+J72-K72</f>
        <v>0</v>
      </c>
      <c r="M72" s="62"/>
      <c r="N72" s="143"/>
      <c r="O72" s="13">
        <f>L72+M72-N72</f>
        <v>0</v>
      </c>
      <c r="P72" s="62"/>
      <c r="Q72" s="143"/>
      <c r="R72" s="30">
        <f>O72+P72-Q72</f>
        <v>0</v>
      </c>
      <c r="S72" s="62"/>
      <c r="T72" s="143"/>
      <c r="U72" s="13">
        <f>R72+S72-T72</f>
        <v>0</v>
      </c>
      <c r="V72" s="62"/>
      <c r="W72" s="143"/>
      <c r="X72" s="13">
        <f>U72+V72-W72</f>
        <v>0</v>
      </c>
      <c r="Y72" s="62"/>
      <c r="Z72" s="143"/>
      <c r="AA72" s="13">
        <f>X72+Y72-Z72</f>
        <v>0</v>
      </c>
      <c r="AB72" s="62"/>
      <c r="AC72" s="143"/>
      <c r="AD72" s="13">
        <f>AA72+AB72-AC72</f>
        <v>0</v>
      </c>
      <c r="AE72" s="62"/>
      <c r="AF72" s="143"/>
      <c r="AG72" s="13">
        <f>AD72+AE72-AF72</f>
        <v>0</v>
      </c>
      <c r="AH72" s="62"/>
      <c r="AI72" s="143"/>
      <c r="AJ72" s="13">
        <f>AG72+AH72-AI72</f>
        <v>0</v>
      </c>
      <c r="AK72" s="61"/>
      <c r="AL72" s="143"/>
      <c r="AM72" s="13">
        <f>AJ72+AK72-AL72</f>
        <v>0</v>
      </c>
      <c r="AN72" s="62"/>
      <c r="AO72" s="143"/>
      <c r="AP72" s="13">
        <f>AM72+AN72-AO72</f>
        <v>0</v>
      </c>
      <c r="AQ72" s="62"/>
      <c r="AR72" s="143"/>
      <c r="AS72" s="13">
        <f>AP72+AQ72-AR72</f>
        <v>0</v>
      </c>
      <c r="AT72" s="62"/>
      <c r="AU72" s="143"/>
      <c r="AV72" s="13">
        <f>AS72+AT72-AU72</f>
        <v>0</v>
      </c>
      <c r="AW72" s="62"/>
      <c r="AX72" s="143"/>
      <c r="AY72" s="13">
        <f>AV72+AW72-AX72</f>
        <v>0</v>
      </c>
      <c r="AZ72" s="62"/>
      <c r="BA72" s="143"/>
      <c r="BB72" s="13">
        <f>AY72+AZ72-BA72</f>
        <v>0</v>
      </c>
      <c r="BC72" s="62"/>
      <c r="BD72" s="143"/>
      <c r="BE72" s="13">
        <f>BB72+BC72-BD72</f>
        <v>0</v>
      </c>
      <c r="BF72" s="62"/>
      <c r="BG72" s="143"/>
      <c r="BH72" s="13">
        <f>BE72+BF72-BG72</f>
        <v>0</v>
      </c>
      <c r="BI72" s="62"/>
      <c r="BJ72" s="143"/>
      <c r="BK72" s="13">
        <f>BH72+BI72-BJ72</f>
        <v>0</v>
      </c>
      <c r="BL72" s="62"/>
      <c r="BM72" s="143"/>
      <c r="BN72" s="13">
        <f>BK72+BL72-BM72</f>
        <v>0</v>
      </c>
      <c r="BO72" s="62"/>
      <c r="BP72" s="143"/>
      <c r="BQ72" s="13">
        <f>BN72+BO72-BP72</f>
        <v>0</v>
      </c>
      <c r="BR72" s="62"/>
      <c r="BS72" s="143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277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/>
      <c r="K73" s="143"/>
      <c r="L73" s="13">
        <f t="shared" ref="L73:L77" si="52">I73+J73-K73</f>
        <v>0</v>
      </c>
      <c r="M73" s="62"/>
      <c r="N73" s="143"/>
      <c r="O73" s="13">
        <f t="shared" ref="O73:O77" si="53">L73+M73-N73</f>
        <v>0</v>
      </c>
      <c r="P73" s="62"/>
      <c r="Q73" s="143"/>
      <c r="R73" s="30">
        <f t="shared" ref="R73:R77" si="54">O73+P73-Q73</f>
        <v>0</v>
      </c>
      <c r="S73" s="62"/>
      <c r="T73" s="143"/>
      <c r="U73" s="13">
        <f t="shared" ref="U73:U76" si="55">R73+S73-T73</f>
        <v>0</v>
      </c>
      <c r="V73" s="62"/>
      <c r="W73" s="143"/>
      <c r="X73" s="13">
        <f t="shared" ref="X73:X77" si="56">U73+V73-W73</f>
        <v>0</v>
      </c>
      <c r="Y73" s="62"/>
      <c r="Z73" s="143"/>
      <c r="AA73" s="13">
        <f t="shared" ref="AA73:AA93" si="57">X73+Y73-Z73</f>
        <v>0</v>
      </c>
      <c r="AB73" s="62"/>
      <c r="AC73" s="143"/>
      <c r="AD73" s="13">
        <f t="shared" ref="AD73:AD77" si="58">AA73+AB73-AC73</f>
        <v>0</v>
      </c>
      <c r="AE73" s="62"/>
      <c r="AF73" s="143"/>
      <c r="AG73" s="13">
        <f t="shared" ref="AG73:AG77" si="59">AD73+AE73-AF73</f>
        <v>0</v>
      </c>
      <c r="AH73" s="189">
        <v>30</v>
      </c>
      <c r="AI73" s="143">
        <v>30</v>
      </c>
      <c r="AJ73" s="13">
        <f t="shared" ref="AJ73:AJ77" si="60">AG73+AH73-AI73</f>
        <v>0</v>
      </c>
      <c r="AK73" s="61"/>
      <c r="AL73" s="143"/>
      <c r="AM73" s="13">
        <f t="shared" ref="AM73:AM77" si="61">AJ73+AK73-AL73</f>
        <v>0</v>
      </c>
      <c r="AN73" s="62"/>
      <c r="AO73" s="143"/>
      <c r="AP73" s="13">
        <f t="shared" ref="AP73:AP77" si="62">AM73+AN73-AO73</f>
        <v>0</v>
      </c>
      <c r="AQ73" s="62"/>
      <c r="AR73" s="143"/>
      <c r="AS73" s="13">
        <f t="shared" ref="AS73:AS77" si="63">AP73+AQ73-AR73</f>
        <v>0</v>
      </c>
      <c r="AT73" s="62"/>
      <c r="AU73" s="143"/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2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62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189">
        <v>29</v>
      </c>
      <c r="CB73" s="143">
        <v>27</v>
      </c>
      <c r="CC73" s="13">
        <f t="shared" si="39"/>
        <v>2</v>
      </c>
      <c r="CD73" s="62"/>
      <c r="CE73" s="143"/>
      <c r="CF73" s="13">
        <f t="shared" si="40"/>
        <v>2</v>
      </c>
      <c r="CG73" s="62"/>
      <c r="CH73" s="143"/>
      <c r="CI73" s="13">
        <f t="shared" si="46"/>
        <v>2</v>
      </c>
      <c r="CJ73" s="62"/>
      <c r="CK73" s="143"/>
      <c r="CL73" s="13">
        <f t="shared" si="47"/>
        <v>2</v>
      </c>
      <c r="CM73" s="62"/>
      <c r="CN73" s="143"/>
      <c r="CO73" s="13">
        <f t="shared" si="41"/>
        <v>2</v>
      </c>
      <c r="CP73" s="62"/>
      <c r="CQ73" s="143"/>
      <c r="CR73" s="13">
        <f t="shared" si="48"/>
        <v>2</v>
      </c>
      <c r="CS73" s="62"/>
      <c r="CT73" s="143"/>
      <c r="CU73" s="14">
        <f t="shared" si="42"/>
        <v>2</v>
      </c>
      <c r="CV73" s="5">
        <f t="shared" si="43"/>
        <v>59</v>
      </c>
      <c r="CW73" s="4">
        <f t="shared" si="43"/>
        <v>57</v>
      </c>
      <c r="CX73" s="6">
        <f t="shared" si="44"/>
        <v>2</v>
      </c>
      <c r="CY73" s="162">
        <v>0</v>
      </c>
      <c r="CZ73" s="171">
        <f t="shared" si="45"/>
        <v>0</v>
      </c>
      <c r="DB73" s="2">
        <f t="shared" si="49"/>
        <v>2</v>
      </c>
      <c r="DC73" s="62"/>
      <c r="DD73" s="143"/>
      <c r="DE73" s="149">
        <f t="shared" si="50"/>
        <v>2</v>
      </c>
    </row>
    <row r="74" spans="1:109" ht="15.75" customHeight="1">
      <c r="A74" s="33"/>
      <c r="B74" s="3" t="s">
        <v>265</v>
      </c>
      <c r="C74" s="104" t="s">
        <v>21</v>
      </c>
      <c r="D74" s="34"/>
      <c r="E74" s="34" t="s">
        <v>242</v>
      </c>
      <c r="F74" s="14">
        <v>41</v>
      </c>
      <c r="G74" s="62"/>
      <c r="H74" s="143"/>
      <c r="I74" s="13">
        <f t="shared" si="51"/>
        <v>41</v>
      </c>
      <c r="J74" s="62"/>
      <c r="K74" s="143"/>
      <c r="L74" s="13">
        <f t="shared" si="52"/>
        <v>41</v>
      </c>
      <c r="M74" s="62"/>
      <c r="N74" s="143">
        <v>35</v>
      </c>
      <c r="O74" s="13">
        <f t="shared" si="53"/>
        <v>6</v>
      </c>
      <c r="P74" s="62">
        <v>80</v>
      </c>
      <c r="Q74" s="143">
        <v>49</v>
      </c>
      <c r="R74" s="30">
        <f t="shared" si="54"/>
        <v>37</v>
      </c>
      <c r="S74" s="62"/>
      <c r="T74" s="143"/>
      <c r="U74" s="13">
        <f t="shared" si="55"/>
        <v>37</v>
      </c>
      <c r="V74" s="62"/>
      <c r="W74" s="143"/>
      <c r="X74" s="13">
        <f t="shared" si="56"/>
        <v>37</v>
      </c>
      <c r="Y74" s="62"/>
      <c r="Z74" s="143"/>
      <c r="AA74" s="13">
        <f t="shared" si="57"/>
        <v>37</v>
      </c>
      <c r="AB74" s="62"/>
      <c r="AC74" s="143"/>
      <c r="AD74" s="13">
        <f t="shared" si="58"/>
        <v>37</v>
      </c>
      <c r="AE74" s="62"/>
      <c r="AF74" s="143"/>
      <c r="AG74" s="13">
        <f t="shared" si="59"/>
        <v>37</v>
      </c>
      <c r="AH74" s="62"/>
      <c r="AI74" s="143"/>
      <c r="AJ74" s="13">
        <f t="shared" si="60"/>
        <v>37</v>
      </c>
      <c r="AK74" s="61"/>
      <c r="AL74" s="143"/>
      <c r="AM74" s="13">
        <f t="shared" si="61"/>
        <v>37</v>
      </c>
      <c r="AN74" s="62"/>
      <c r="AO74" s="143"/>
      <c r="AP74" s="13">
        <f t="shared" si="62"/>
        <v>37</v>
      </c>
      <c r="AQ74" s="62">
        <v>10</v>
      </c>
      <c r="AR74" s="143">
        <v>10</v>
      </c>
      <c r="AS74" s="13">
        <f t="shared" si="63"/>
        <v>37</v>
      </c>
      <c r="AT74" s="62"/>
      <c r="AU74" s="143"/>
      <c r="AV74" s="13">
        <f t="shared" si="64"/>
        <v>37</v>
      </c>
      <c r="AW74" s="62"/>
      <c r="AX74" s="143"/>
      <c r="AY74" s="13">
        <f t="shared" si="65"/>
        <v>37</v>
      </c>
      <c r="AZ74" s="62"/>
      <c r="BA74" s="143"/>
      <c r="BB74" s="13">
        <f t="shared" si="66"/>
        <v>37</v>
      </c>
      <c r="BC74" s="62"/>
      <c r="BD74" s="143">
        <v>35</v>
      </c>
      <c r="BE74" s="13">
        <f t="shared" si="67"/>
        <v>2</v>
      </c>
      <c r="BF74" s="62">
        <f>49+5</f>
        <v>54</v>
      </c>
      <c r="BG74" s="143">
        <v>45</v>
      </c>
      <c r="BH74" s="13">
        <f t="shared" si="68"/>
        <v>11</v>
      </c>
      <c r="BI74" s="62"/>
      <c r="BJ74" s="143"/>
      <c r="BK74" s="13">
        <f t="shared" si="69"/>
        <v>11</v>
      </c>
      <c r="BL74" s="62">
        <v>95</v>
      </c>
      <c r="BM74" s="143">
        <f>65+10</f>
        <v>75</v>
      </c>
      <c r="BN74" s="13">
        <f t="shared" si="70"/>
        <v>31</v>
      </c>
      <c r="BO74" s="62"/>
      <c r="BP74" s="143"/>
      <c r="BQ74" s="13">
        <f t="shared" si="71"/>
        <v>31</v>
      </c>
      <c r="BR74" s="62"/>
      <c r="BS74" s="143"/>
      <c r="BT74" s="13">
        <f t="shared" si="37"/>
        <v>31</v>
      </c>
      <c r="BU74" s="62"/>
      <c r="BV74" s="143"/>
      <c r="BW74" s="13">
        <f t="shared" si="72"/>
        <v>31</v>
      </c>
      <c r="BX74" s="62"/>
      <c r="BY74" s="143"/>
      <c r="BZ74" s="13">
        <f t="shared" si="38"/>
        <v>31</v>
      </c>
      <c r="CA74" s="62"/>
      <c r="CB74" s="143"/>
      <c r="CC74" s="13">
        <f t="shared" si="39"/>
        <v>31</v>
      </c>
      <c r="CD74" s="62"/>
      <c r="CE74" s="143"/>
      <c r="CF74" s="13">
        <f t="shared" si="40"/>
        <v>31</v>
      </c>
      <c r="CG74" s="62">
        <v>-1</v>
      </c>
      <c r="CH74" s="143">
        <v>10</v>
      </c>
      <c r="CI74" s="13">
        <f t="shared" si="46"/>
        <v>20</v>
      </c>
      <c r="CJ74" s="62"/>
      <c r="CK74" s="143"/>
      <c r="CL74" s="13">
        <f t="shared" si="47"/>
        <v>20</v>
      </c>
      <c r="CM74" s="62"/>
      <c r="CN74" s="143"/>
      <c r="CO74" s="13">
        <f t="shared" si="41"/>
        <v>20</v>
      </c>
      <c r="CP74" s="62"/>
      <c r="CQ74" s="143"/>
      <c r="CR74" s="13">
        <f t="shared" si="48"/>
        <v>20</v>
      </c>
      <c r="CS74" s="62"/>
      <c r="CT74" s="143"/>
      <c r="CU74" s="14">
        <f t="shared" si="42"/>
        <v>20</v>
      </c>
      <c r="CV74" s="5">
        <f t="shared" si="43"/>
        <v>238</v>
      </c>
      <c r="CW74" s="4">
        <f t="shared" si="43"/>
        <v>259</v>
      </c>
      <c r="CX74" s="6">
        <f t="shared" si="44"/>
        <v>20</v>
      </c>
      <c r="CY74" s="162">
        <v>63</v>
      </c>
      <c r="CZ74" s="171">
        <f t="shared" si="45"/>
        <v>1260</v>
      </c>
      <c r="DB74" s="2">
        <f t="shared" si="49"/>
        <v>20</v>
      </c>
      <c r="DC74" s="62"/>
      <c r="DD74" s="143"/>
      <c r="DE74" s="149">
        <f t="shared" si="50"/>
        <v>20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 t="shared" si="52"/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2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1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62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0</v>
      </c>
      <c r="CX75" s="6">
        <f t="shared" si="44"/>
        <v>0</v>
      </c>
      <c r="CY75" s="162">
        <v>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8</v>
      </c>
      <c r="G76" s="62">
        <f>-38+48</f>
        <v>10</v>
      </c>
      <c r="H76" s="143">
        <f>4+4</f>
        <v>8</v>
      </c>
      <c r="I76" s="13">
        <f t="shared" si="51"/>
        <v>10</v>
      </c>
      <c r="J76" s="62"/>
      <c r="K76" s="143"/>
      <c r="L76" s="13">
        <f t="shared" si="52"/>
        <v>10</v>
      </c>
      <c r="M76" s="62">
        <f>-7+20</f>
        <v>13</v>
      </c>
      <c r="N76" s="143">
        <f>4+6</f>
        <v>10</v>
      </c>
      <c r="O76" s="13">
        <f t="shared" si="53"/>
        <v>13</v>
      </c>
      <c r="P76" s="62">
        <f>-13+20</f>
        <v>7</v>
      </c>
      <c r="Q76" s="143">
        <f>4+9</f>
        <v>13</v>
      </c>
      <c r="R76" s="30">
        <f t="shared" si="54"/>
        <v>7</v>
      </c>
      <c r="S76" s="62"/>
      <c r="T76" s="143"/>
      <c r="U76" s="13">
        <f t="shared" si="55"/>
        <v>7</v>
      </c>
      <c r="V76" s="62">
        <f>-12+24</f>
        <v>12</v>
      </c>
      <c r="W76" s="143">
        <f>4+3</f>
        <v>7</v>
      </c>
      <c r="X76" s="13">
        <f t="shared" si="56"/>
        <v>12</v>
      </c>
      <c r="Y76" s="62">
        <v>12</v>
      </c>
      <c r="Z76" s="143">
        <f>4+6</f>
        <v>10</v>
      </c>
      <c r="AA76" s="13">
        <f t="shared" si="57"/>
        <v>14</v>
      </c>
      <c r="AB76" s="62">
        <f>-24+32</f>
        <v>8</v>
      </c>
      <c r="AC76" s="143">
        <f>2+12</f>
        <v>14</v>
      </c>
      <c r="AD76" s="13">
        <f t="shared" si="58"/>
        <v>8</v>
      </c>
      <c r="AE76" s="62"/>
      <c r="AF76" s="143"/>
      <c r="AG76" s="13">
        <f t="shared" si="59"/>
        <v>8</v>
      </c>
      <c r="AH76" s="62">
        <f>-6+44</f>
        <v>38</v>
      </c>
      <c r="AI76" s="143">
        <v>8</v>
      </c>
      <c r="AJ76" s="13">
        <f t="shared" si="60"/>
        <v>38</v>
      </c>
      <c r="AK76" s="61"/>
      <c r="AL76" s="143">
        <f>5+27</f>
        <v>32</v>
      </c>
      <c r="AM76" s="13">
        <f t="shared" si="61"/>
        <v>6</v>
      </c>
      <c r="AN76" s="62">
        <v>4</v>
      </c>
      <c r="AO76" s="143"/>
      <c r="AP76" s="13">
        <f t="shared" si="62"/>
        <v>10</v>
      </c>
      <c r="AQ76" s="62">
        <f>-12+20</f>
        <v>8</v>
      </c>
      <c r="AR76" s="143">
        <f>2+8</f>
        <v>10</v>
      </c>
      <c r="AS76" s="13">
        <f t="shared" si="63"/>
        <v>8</v>
      </c>
      <c r="AT76" s="62">
        <f>-21+40</f>
        <v>19</v>
      </c>
      <c r="AU76" s="143">
        <f>4+4</f>
        <v>8</v>
      </c>
      <c r="AV76" s="13">
        <f t="shared" si="64"/>
        <v>19</v>
      </c>
      <c r="AW76" s="62">
        <f>-20+32</f>
        <v>12</v>
      </c>
      <c r="AX76" s="143">
        <f>5+14</f>
        <v>19</v>
      </c>
      <c r="AY76" s="13">
        <f t="shared" si="65"/>
        <v>12</v>
      </c>
      <c r="AZ76" s="62"/>
      <c r="BA76" s="143"/>
      <c r="BB76" s="13">
        <f t="shared" si="66"/>
        <v>12</v>
      </c>
      <c r="BC76" s="62">
        <f>-6+20</f>
        <v>14</v>
      </c>
      <c r="BD76" s="143">
        <f>4+8+5</f>
        <v>17</v>
      </c>
      <c r="BE76" s="13">
        <f t="shared" si="67"/>
        <v>9</v>
      </c>
      <c r="BF76" s="62">
        <f>-15+20</f>
        <v>5</v>
      </c>
      <c r="BG76" s="143">
        <v>9</v>
      </c>
      <c r="BH76" s="13">
        <f t="shared" si="68"/>
        <v>5</v>
      </c>
      <c r="BI76" s="62"/>
      <c r="BJ76" s="143"/>
      <c r="BK76" s="13">
        <f t="shared" si="69"/>
        <v>5</v>
      </c>
      <c r="BL76" s="62">
        <f>-9+20</f>
        <v>11</v>
      </c>
      <c r="BM76" s="143">
        <v>5</v>
      </c>
      <c r="BN76" s="13">
        <f t="shared" si="70"/>
        <v>11</v>
      </c>
      <c r="BO76" s="62">
        <f>-10+60</f>
        <v>50</v>
      </c>
      <c r="BP76" s="143">
        <f>4+7</f>
        <v>11</v>
      </c>
      <c r="BQ76" s="13">
        <f t="shared" si="71"/>
        <v>50</v>
      </c>
      <c r="BR76" s="62">
        <v>28</v>
      </c>
      <c r="BS76" s="143">
        <f>6+35</f>
        <v>41</v>
      </c>
      <c r="BT76" s="13">
        <f t="shared" si="37"/>
        <v>37</v>
      </c>
      <c r="BU76" s="62"/>
      <c r="BV76" s="143"/>
      <c r="BW76" s="13">
        <f t="shared" si="72"/>
        <v>37</v>
      </c>
      <c r="BX76" s="62"/>
      <c r="BY76" s="143">
        <f>4+17+3</f>
        <v>24</v>
      </c>
      <c r="BZ76" s="13">
        <f t="shared" si="38"/>
        <v>13</v>
      </c>
      <c r="CA76" s="62">
        <f>-13+28</f>
        <v>15</v>
      </c>
      <c r="CB76" s="143">
        <f>5+8</f>
        <v>13</v>
      </c>
      <c r="CC76" s="13">
        <f t="shared" si="39"/>
        <v>15</v>
      </c>
      <c r="CD76" s="62"/>
      <c r="CE76" s="143"/>
      <c r="CF76" s="13">
        <f t="shared" si="40"/>
        <v>15</v>
      </c>
      <c r="CG76" s="62">
        <f>-5+12</f>
        <v>7</v>
      </c>
      <c r="CH76" s="143">
        <f>5+10</f>
        <v>15</v>
      </c>
      <c r="CI76" s="13">
        <f t="shared" si="46"/>
        <v>7</v>
      </c>
      <c r="CJ76" s="62">
        <f>-46+56</f>
        <v>10</v>
      </c>
      <c r="CK76" s="143">
        <f>2+5</f>
        <v>7</v>
      </c>
      <c r="CL76" s="13">
        <f t="shared" si="47"/>
        <v>10</v>
      </c>
      <c r="CM76" s="62"/>
      <c r="CN76" s="143"/>
      <c r="CO76" s="13">
        <f t="shared" si="41"/>
        <v>10</v>
      </c>
      <c r="CP76" s="62"/>
      <c r="CQ76" s="143"/>
      <c r="CR76" s="13">
        <f t="shared" si="48"/>
        <v>10</v>
      </c>
      <c r="CS76" s="62"/>
      <c r="CT76" s="143"/>
      <c r="CU76" s="14">
        <f t="shared" si="42"/>
        <v>10</v>
      </c>
      <c r="CV76" s="5">
        <f t="shared" si="43"/>
        <v>283</v>
      </c>
      <c r="CW76" s="4">
        <f t="shared" si="43"/>
        <v>281</v>
      </c>
      <c r="CX76" s="6">
        <f t="shared" si="44"/>
        <v>10</v>
      </c>
      <c r="CY76" s="162">
        <v>480</v>
      </c>
      <c r="CZ76" s="171">
        <f t="shared" si="45"/>
        <v>4800</v>
      </c>
      <c r="DB76" s="2">
        <f t="shared" si="49"/>
        <v>10</v>
      </c>
      <c r="DC76" s="62"/>
      <c r="DD76" s="143"/>
      <c r="DE76" s="149">
        <f t="shared" si="50"/>
        <v>10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-7</v>
      </c>
      <c r="G77" s="62">
        <v>36</v>
      </c>
      <c r="H77" s="143">
        <f>10+2+12</f>
        <v>24</v>
      </c>
      <c r="I77" s="13">
        <f>F77+G77-H77</f>
        <v>5</v>
      </c>
      <c r="J77" s="62"/>
      <c r="K77" s="143"/>
      <c r="L77" s="13">
        <f t="shared" si="52"/>
        <v>5</v>
      </c>
      <c r="M77" s="62"/>
      <c r="N77" s="143">
        <f>10+7</f>
        <v>17</v>
      </c>
      <c r="O77" s="13">
        <f t="shared" si="53"/>
        <v>-12</v>
      </c>
      <c r="P77" s="62">
        <v>36</v>
      </c>
      <c r="Q77" s="143">
        <f>10+7+4+4+1</f>
        <v>26</v>
      </c>
      <c r="R77" s="30">
        <f t="shared" si="54"/>
        <v>-2</v>
      </c>
      <c r="S77" s="62"/>
      <c r="T77" s="143"/>
      <c r="U77" s="13">
        <f>R77+S77-T77</f>
        <v>-2</v>
      </c>
      <c r="V77" s="62">
        <v>36</v>
      </c>
      <c r="W77" s="143">
        <f>10+1+1</f>
        <v>12</v>
      </c>
      <c r="X77" s="13">
        <f t="shared" si="56"/>
        <v>22</v>
      </c>
      <c r="Y77" s="62"/>
      <c r="Z77" s="143">
        <v>7</v>
      </c>
      <c r="AA77" s="13">
        <f t="shared" si="57"/>
        <v>15</v>
      </c>
      <c r="AB77" s="62"/>
      <c r="AC77" s="143">
        <f>15+7</f>
        <v>22</v>
      </c>
      <c r="AD77" s="13">
        <f t="shared" si="58"/>
        <v>-7</v>
      </c>
      <c r="AE77" s="62"/>
      <c r="AF77" s="143"/>
      <c r="AG77" s="13">
        <f t="shared" si="59"/>
        <v>-7</v>
      </c>
      <c r="AH77" s="62">
        <v>36</v>
      </c>
      <c r="AI77" s="143">
        <f>17+10</f>
        <v>27</v>
      </c>
      <c r="AJ77" s="13">
        <f t="shared" si="60"/>
        <v>2</v>
      </c>
      <c r="AK77" s="62"/>
      <c r="AL77" s="143">
        <f>10+5</f>
        <v>15</v>
      </c>
      <c r="AM77" s="13">
        <f t="shared" si="61"/>
        <v>-13</v>
      </c>
      <c r="AN77" s="62"/>
      <c r="AO77" s="143"/>
      <c r="AP77" s="13">
        <f t="shared" si="62"/>
        <v>-13</v>
      </c>
      <c r="AQ77" s="62">
        <v>36</v>
      </c>
      <c r="AR77" s="143">
        <f>5+1+1</f>
        <v>7</v>
      </c>
      <c r="AS77" s="13">
        <f t="shared" si="63"/>
        <v>16</v>
      </c>
      <c r="AT77" s="62"/>
      <c r="AU77" s="143">
        <f>8</f>
        <v>8</v>
      </c>
      <c r="AV77" s="13">
        <f t="shared" si="64"/>
        <v>8</v>
      </c>
      <c r="AW77" s="62"/>
      <c r="AX77" s="143">
        <f>10+13+4</f>
        <v>27</v>
      </c>
      <c r="AY77" s="13">
        <f t="shared" si="65"/>
        <v>-19</v>
      </c>
      <c r="AZ77" s="62"/>
      <c r="BA77" s="143"/>
      <c r="BB77" s="13">
        <f t="shared" si="66"/>
        <v>-19</v>
      </c>
      <c r="BC77" s="62">
        <v>36</v>
      </c>
      <c r="BD77" s="143">
        <f>10+8</f>
        <v>18</v>
      </c>
      <c r="BE77" s="13">
        <f t="shared" si="67"/>
        <v>-1</v>
      </c>
      <c r="BF77" s="62"/>
      <c r="BG77" s="143">
        <f>10+7+10+2+4</f>
        <v>33</v>
      </c>
      <c r="BH77" s="13">
        <f t="shared" si="68"/>
        <v>-34</v>
      </c>
      <c r="BI77" s="62">
        <v>36</v>
      </c>
      <c r="BJ77" s="143"/>
      <c r="BK77" s="13">
        <f t="shared" si="69"/>
        <v>2</v>
      </c>
      <c r="BL77" s="62"/>
      <c r="BM77" s="143">
        <f>10+1+1</f>
        <v>12</v>
      </c>
      <c r="BN77" s="13">
        <f t="shared" si="70"/>
        <v>-10</v>
      </c>
      <c r="BO77" s="62">
        <v>36</v>
      </c>
      <c r="BP77" s="143"/>
      <c r="BQ77" s="13">
        <f t="shared" si="71"/>
        <v>26</v>
      </c>
      <c r="BR77" s="62"/>
      <c r="BS77" s="143">
        <f>3+5+14+8</f>
        <v>30</v>
      </c>
      <c r="BT77" s="13">
        <f t="shared" si="37"/>
        <v>-4</v>
      </c>
      <c r="BU77" s="62"/>
      <c r="BV77" s="143"/>
      <c r="BW77" s="13">
        <f t="shared" si="72"/>
        <v>-4</v>
      </c>
      <c r="BX77" s="62"/>
      <c r="BY77" s="143"/>
      <c r="BZ77" s="13">
        <f t="shared" si="38"/>
        <v>-4</v>
      </c>
      <c r="CA77" s="62"/>
      <c r="CB77" s="143">
        <f>10+7+15+10+1</f>
        <v>43</v>
      </c>
      <c r="CC77" s="13">
        <f t="shared" si="39"/>
        <v>-47</v>
      </c>
      <c r="CD77" s="62">
        <v>36</v>
      </c>
      <c r="CE77" s="143"/>
      <c r="CF77" s="13">
        <f t="shared" si="40"/>
        <v>-11</v>
      </c>
      <c r="CG77" s="62">
        <v>36</v>
      </c>
      <c r="CH77" s="143">
        <f>2+1</f>
        <v>3</v>
      </c>
      <c r="CI77" s="13">
        <f t="shared" si="46"/>
        <v>22</v>
      </c>
      <c r="CJ77" s="62"/>
      <c r="CK77" s="143"/>
      <c r="CL77" s="13">
        <f t="shared" si="47"/>
        <v>22</v>
      </c>
      <c r="CM77" s="62"/>
      <c r="CN77" s="143"/>
      <c r="CO77" s="13">
        <f t="shared" si="41"/>
        <v>22</v>
      </c>
      <c r="CP77" s="62"/>
      <c r="CQ77" s="143"/>
      <c r="CR77" s="13">
        <f t="shared" si="48"/>
        <v>22</v>
      </c>
      <c r="CS77" s="62"/>
      <c r="CT77" s="143"/>
      <c r="CU77" s="14">
        <f t="shared" si="42"/>
        <v>22</v>
      </c>
      <c r="CV77" s="5">
        <f t="shared" si="43"/>
        <v>360</v>
      </c>
      <c r="CW77" s="4">
        <f t="shared" si="43"/>
        <v>331</v>
      </c>
      <c r="CX77" s="6">
        <f t="shared" si="44"/>
        <v>22</v>
      </c>
      <c r="CY77" s="162">
        <v>195</v>
      </c>
      <c r="CZ77" s="171">
        <f t="shared" si="45"/>
        <v>4290</v>
      </c>
      <c r="DB77" s="2">
        <f t="shared" si="49"/>
        <v>22</v>
      </c>
      <c r="DC77" s="62"/>
      <c r="DD77" s="143">
        <f>7</f>
        <v>7</v>
      </c>
      <c r="DE77" s="149">
        <f t="shared" si="50"/>
        <v>15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/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/>
      <c r="CK79" s="143"/>
      <c r="CL79" s="13">
        <f t="shared" si="47"/>
        <v>0</v>
      </c>
      <c r="CM79" s="62"/>
      <c r="CN79" s="143"/>
      <c r="CO79" s="13">
        <f t="shared" si="41"/>
        <v>0</v>
      </c>
      <c r="CP79" s="62"/>
      <c r="CQ79" s="143"/>
      <c r="CR79" s="13">
        <f t="shared" si="48"/>
        <v>0</v>
      </c>
      <c r="CS79" s="62"/>
      <c r="CT79" s="143"/>
      <c r="CU79" s="14">
        <f t="shared" si="42"/>
        <v>0</v>
      </c>
      <c r="CV79" s="5">
        <f t="shared" si="43"/>
        <v>0</v>
      </c>
      <c r="CW79" s="4">
        <f t="shared" si="43"/>
        <v>0</v>
      </c>
      <c r="CX79" s="6">
        <f t="shared" ref="CX79:CX93" si="95">CU79</f>
        <v>0</v>
      </c>
      <c r="CY79" s="162">
        <v>2850</v>
      </c>
      <c r="CZ79" s="171">
        <f t="shared" si="45"/>
        <v>0</v>
      </c>
      <c r="DB79" s="2">
        <f t="shared" si="49"/>
        <v>0</v>
      </c>
      <c r="DC79" s="62"/>
      <c r="DD79" s="143"/>
      <c r="DE79" s="149">
        <f t="shared" si="50"/>
        <v>0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3</v>
      </c>
      <c r="G80" s="62"/>
      <c r="H80" s="143"/>
      <c r="I80" s="13">
        <f t="shared" si="73"/>
        <v>3</v>
      </c>
      <c r="J80" s="62"/>
      <c r="K80" s="143"/>
      <c r="L80" s="13">
        <f t="shared" si="74"/>
        <v>3</v>
      </c>
      <c r="M80" s="62"/>
      <c r="N80" s="143"/>
      <c r="O80" s="13">
        <f t="shared" si="75"/>
        <v>3</v>
      </c>
      <c r="P80" s="62"/>
      <c r="Q80" s="143"/>
      <c r="R80" s="30">
        <f t="shared" si="76"/>
        <v>3</v>
      </c>
      <c r="S80" s="62"/>
      <c r="T80" s="143"/>
      <c r="U80" s="13">
        <f t="shared" si="77"/>
        <v>3</v>
      </c>
      <c r="V80" s="62">
        <v>12</v>
      </c>
      <c r="W80" s="143">
        <f>3+3+4</f>
        <v>10</v>
      </c>
      <c r="X80" s="30">
        <f t="shared" si="78"/>
        <v>5</v>
      </c>
      <c r="Y80" s="62"/>
      <c r="Z80" s="143"/>
      <c r="AA80" s="13">
        <f t="shared" si="79"/>
        <v>5</v>
      </c>
      <c r="AB80" s="62"/>
      <c r="AC80" s="143"/>
      <c r="AD80" s="13">
        <f t="shared" si="80"/>
        <v>5</v>
      </c>
      <c r="AE80" s="62"/>
      <c r="AF80" s="143"/>
      <c r="AG80" s="13">
        <f t="shared" si="81"/>
        <v>5</v>
      </c>
      <c r="AH80" s="62"/>
      <c r="AI80" s="143"/>
      <c r="AJ80" s="13">
        <f t="shared" si="82"/>
        <v>5</v>
      </c>
      <c r="AK80" s="62"/>
      <c r="AL80" s="143"/>
      <c r="AM80" s="13">
        <f t="shared" si="83"/>
        <v>5</v>
      </c>
      <c r="AN80" s="62"/>
      <c r="AO80" s="143"/>
      <c r="AP80" s="13">
        <f t="shared" si="84"/>
        <v>5</v>
      </c>
      <c r="AQ80" s="62">
        <v>6</v>
      </c>
      <c r="AR80" s="143">
        <f>3+4+3</f>
        <v>10</v>
      </c>
      <c r="AS80" s="13">
        <f t="shared" si="85"/>
        <v>1</v>
      </c>
      <c r="AT80" s="62"/>
      <c r="AU80" s="143"/>
      <c r="AV80" s="13">
        <f t="shared" si="86"/>
        <v>1</v>
      </c>
      <c r="AW80" s="62"/>
      <c r="AX80" s="143"/>
      <c r="AY80" s="13">
        <f t="shared" si="87"/>
        <v>1</v>
      </c>
      <c r="AZ80" s="62"/>
      <c r="BA80" s="143"/>
      <c r="BB80" s="13">
        <f t="shared" si="88"/>
        <v>1</v>
      </c>
      <c r="BC80" s="62"/>
      <c r="BD80" s="143"/>
      <c r="BE80" s="13">
        <f t="shared" si="89"/>
        <v>1</v>
      </c>
      <c r="BF80" s="62"/>
      <c r="BG80" s="143"/>
      <c r="BH80" s="13">
        <f t="shared" si="90"/>
        <v>1</v>
      </c>
      <c r="BI80" s="62">
        <v>12</v>
      </c>
      <c r="BJ80" s="143"/>
      <c r="BK80" s="13">
        <f t="shared" si="91"/>
        <v>13</v>
      </c>
      <c r="BL80" s="62"/>
      <c r="BM80" s="143">
        <f>3+3+2</f>
        <v>8</v>
      </c>
      <c r="BN80" s="13">
        <f t="shared" si="92"/>
        <v>5</v>
      </c>
      <c r="BO80" s="62"/>
      <c r="BP80" s="143"/>
      <c r="BQ80" s="13">
        <f t="shared" si="93"/>
        <v>5</v>
      </c>
      <c r="BR80" s="62"/>
      <c r="BS80" s="143"/>
      <c r="BT80" s="13">
        <f t="shared" si="37"/>
        <v>5</v>
      </c>
      <c r="BU80" s="62"/>
      <c r="BV80" s="143"/>
      <c r="BW80" s="13">
        <f t="shared" si="94"/>
        <v>5</v>
      </c>
      <c r="BX80" s="62"/>
      <c r="BY80" s="143"/>
      <c r="BZ80" s="13">
        <f t="shared" si="38"/>
        <v>5</v>
      </c>
      <c r="CA80" s="62">
        <v>6</v>
      </c>
      <c r="CB80" s="143"/>
      <c r="CC80" s="13">
        <f t="shared" si="39"/>
        <v>11</v>
      </c>
      <c r="CD80" s="62"/>
      <c r="CE80" s="143"/>
      <c r="CF80" s="13">
        <f t="shared" si="40"/>
        <v>11</v>
      </c>
      <c r="CG80" s="62"/>
      <c r="CH80" s="143">
        <f>3+3</f>
        <v>6</v>
      </c>
      <c r="CI80" s="13">
        <f t="shared" si="46"/>
        <v>5</v>
      </c>
      <c r="CJ80" s="62"/>
      <c r="CK80" s="143"/>
      <c r="CL80" s="13">
        <f t="shared" si="47"/>
        <v>5</v>
      </c>
      <c r="CM80" s="62"/>
      <c r="CN80" s="143"/>
      <c r="CO80" s="13">
        <f t="shared" si="41"/>
        <v>5</v>
      </c>
      <c r="CP80" s="62"/>
      <c r="CQ80" s="143"/>
      <c r="CR80" s="13">
        <f t="shared" si="48"/>
        <v>5</v>
      </c>
      <c r="CS80" s="62"/>
      <c r="CT80" s="143"/>
      <c r="CU80" s="14">
        <f t="shared" si="42"/>
        <v>5</v>
      </c>
      <c r="CV80" s="5">
        <f t="shared" si="43"/>
        <v>36</v>
      </c>
      <c r="CW80" s="4">
        <f t="shared" si="43"/>
        <v>34</v>
      </c>
      <c r="CX80" s="6">
        <f t="shared" si="95"/>
        <v>5</v>
      </c>
      <c r="CY80" s="162">
        <v>2850</v>
      </c>
      <c r="CZ80" s="171">
        <f t="shared" si="45"/>
        <v>14250</v>
      </c>
      <c r="DB80" s="2">
        <f t="shared" si="49"/>
        <v>5</v>
      </c>
      <c r="DC80" s="62"/>
      <c r="DD80" s="143">
        <v>4</v>
      </c>
      <c r="DE80" s="149">
        <f t="shared" si="50"/>
        <v>1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49</v>
      </c>
      <c r="G81" s="62"/>
      <c r="H81" s="143">
        <v>5</v>
      </c>
      <c r="I81" s="13">
        <f t="shared" si="73"/>
        <v>44</v>
      </c>
      <c r="J81" s="62"/>
      <c r="K81" s="143"/>
      <c r="L81" s="13">
        <f t="shared" si="74"/>
        <v>44</v>
      </c>
      <c r="M81" s="62"/>
      <c r="N81" s="143">
        <v>4</v>
      </c>
      <c r="O81" s="13">
        <f t="shared" si="75"/>
        <v>40</v>
      </c>
      <c r="P81" s="62"/>
      <c r="Q81" s="143">
        <v>7</v>
      </c>
      <c r="R81" s="13">
        <f t="shared" si="76"/>
        <v>33</v>
      </c>
      <c r="S81" s="62"/>
      <c r="T81" s="143"/>
      <c r="U81" s="13">
        <f t="shared" si="77"/>
        <v>33</v>
      </c>
      <c r="V81" s="62">
        <v>28</v>
      </c>
      <c r="W81" s="143">
        <v>1</v>
      </c>
      <c r="X81" s="13">
        <f t="shared" si="78"/>
        <v>60</v>
      </c>
      <c r="Y81" s="62"/>
      <c r="Z81" s="143">
        <v>3</v>
      </c>
      <c r="AA81" s="13">
        <f t="shared" si="79"/>
        <v>57</v>
      </c>
      <c r="AB81" s="62"/>
      <c r="AC81" s="143">
        <v>6</v>
      </c>
      <c r="AD81" s="13">
        <f t="shared" si="80"/>
        <v>51</v>
      </c>
      <c r="AE81" s="62"/>
      <c r="AF81" s="143"/>
      <c r="AG81" s="13">
        <f t="shared" si="81"/>
        <v>51</v>
      </c>
      <c r="AH81" s="62"/>
      <c r="AI81" s="143">
        <v>3</v>
      </c>
      <c r="AJ81" s="13">
        <f t="shared" si="82"/>
        <v>48</v>
      </c>
      <c r="AK81" s="62"/>
      <c r="AL81" s="143">
        <v>10</v>
      </c>
      <c r="AM81" s="13">
        <f t="shared" si="83"/>
        <v>38</v>
      </c>
      <c r="AN81" s="62"/>
      <c r="AO81" s="143"/>
      <c r="AP81" s="13">
        <f t="shared" si="84"/>
        <v>38</v>
      </c>
      <c r="AQ81" s="62"/>
      <c r="AR81" s="143">
        <v>4</v>
      </c>
      <c r="AS81" s="13">
        <f t="shared" si="85"/>
        <v>34</v>
      </c>
      <c r="AT81" s="62"/>
      <c r="AU81" s="143">
        <v>2</v>
      </c>
      <c r="AV81" s="13">
        <f t="shared" si="86"/>
        <v>32</v>
      </c>
      <c r="AW81" s="62"/>
      <c r="AX81" s="143">
        <v>9</v>
      </c>
      <c r="AY81" s="13">
        <f t="shared" si="87"/>
        <v>23</v>
      </c>
      <c r="AZ81" s="62"/>
      <c r="BA81" s="143"/>
      <c r="BB81" s="13">
        <f t="shared" si="88"/>
        <v>23</v>
      </c>
      <c r="BC81" s="62"/>
      <c r="BD81" s="143">
        <v>7</v>
      </c>
      <c r="BE81" s="13">
        <f t="shared" si="89"/>
        <v>16</v>
      </c>
      <c r="BF81" s="62"/>
      <c r="BG81" s="143">
        <v>4</v>
      </c>
      <c r="BH81" s="13">
        <f t="shared" si="90"/>
        <v>12</v>
      </c>
      <c r="BI81" s="62"/>
      <c r="BJ81" s="143"/>
      <c r="BK81" s="13">
        <f t="shared" si="91"/>
        <v>12</v>
      </c>
      <c r="BL81" s="62">
        <v>28</v>
      </c>
      <c r="BM81" s="143">
        <v>2</v>
      </c>
      <c r="BN81" s="13">
        <f t="shared" si="92"/>
        <v>38</v>
      </c>
      <c r="BO81" s="62"/>
      <c r="BP81" s="143">
        <v>4</v>
      </c>
      <c r="BQ81" s="13">
        <f t="shared" si="93"/>
        <v>34</v>
      </c>
      <c r="BR81" s="62"/>
      <c r="BS81" s="143">
        <v>6</v>
      </c>
      <c r="BT81" s="13">
        <f t="shared" si="37"/>
        <v>28</v>
      </c>
      <c r="BU81" s="62"/>
      <c r="BV81" s="143"/>
      <c r="BW81" s="13">
        <f t="shared" si="94"/>
        <v>28</v>
      </c>
      <c r="BX81" s="62"/>
      <c r="BY81" s="143">
        <v>9</v>
      </c>
      <c r="BZ81" s="13">
        <f t="shared" si="38"/>
        <v>19</v>
      </c>
      <c r="CA81" s="62"/>
      <c r="CB81" s="143">
        <v>4</v>
      </c>
      <c r="CC81" s="13">
        <f t="shared" si="39"/>
        <v>15</v>
      </c>
      <c r="CD81" s="62"/>
      <c r="CE81" s="143"/>
      <c r="CF81" s="13">
        <f t="shared" si="40"/>
        <v>15</v>
      </c>
      <c r="CG81" s="62">
        <v>28</v>
      </c>
      <c r="CH81" s="143">
        <v>3</v>
      </c>
      <c r="CI81" s="13">
        <f t="shared" si="46"/>
        <v>40</v>
      </c>
      <c r="CJ81" s="62"/>
      <c r="CK81" s="143">
        <v>3</v>
      </c>
      <c r="CL81" s="13">
        <f t="shared" si="47"/>
        <v>37</v>
      </c>
      <c r="CM81" s="62"/>
      <c r="CN81" s="143"/>
      <c r="CO81" s="13">
        <f t="shared" si="41"/>
        <v>37</v>
      </c>
      <c r="CP81" s="62"/>
      <c r="CQ81" s="143"/>
      <c r="CR81" s="13">
        <f t="shared" si="48"/>
        <v>37</v>
      </c>
      <c r="CS81" s="62"/>
      <c r="CT81" s="143"/>
      <c r="CU81" s="14">
        <f t="shared" si="42"/>
        <v>37</v>
      </c>
      <c r="CV81" s="5">
        <f t="shared" si="43"/>
        <v>84</v>
      </c>
      <c r="CW81" s="4">
        <f t="shared" si="43"/>
        <v>96</v>
      </c>
      <c r="CX81" s="6">
        <f t="shared" si="95"/>
        <v>37</v>
      </c>
      <c r="CY81" s="162"/>
      <c r="CZ81" s="171">
        <f t="shared" si="45"/>
        <v>0</v>
      </c>
      <c r="DB81" s="2">
        <f t="shared" si="49"/>
        <v>37</v>
      </c>
      <c r="DC81" s="62"/>
      <c r="DD81" s="143"/>
      <c r="DE81" s="149">
        <f t="shared" si="50"/>
        <v>37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6</v>
      </c>
      <c r="G82" s="62"/>
      <c r="H82" s="143">
        <v>2</v>
      </c>
      <c r="I82" s="13">
        <f t="shared" si="73"/>
        <v>4</v>
      </c>
      <c r="J82" s="62"/>
      <c r="K82" s="143"/>
      <c r="L82" s="13">
        <f t="shared" si="74"/>
        <v>4</v>
      </c>
      <c r="M82" s="62">
        <v>6</v>
      </c>
      <c r="N82" s="143">
        <v>1</v>
      </c>
      <c r="O82" s="13">
        <f t="shared" si="75"/>
        <v>9</v>
      </c>
      <c r="P82" s="62"/>
      <c r="Q82" s="143">
        <v>1</v>
      </c>
      <c r="R82" s="30">
        <f t="shared" si="76"/>
        <v>8</v>
      </c>
      <c r="S82" s="62"/>
      <c r="T82" s="143"/>
      <c r="U82" s="13">
        <f t="shared" si="77"/>
        <v>8</v>
      </c>
      <c r="V82" s="62"/>
      <c r="W82" s="143"/>
      <c r="X82" s="13">
        <f t="shared" si="78"/>
        <v>8</v>
      </c>
      <c r="Y82" s="62"/>
      <c r="Z82" s="143"/>
      <c r="AA82" s="13">
        <f t="shared" si="79"/>
        <v>8</v>
      </c>
      <c r="AB82" s="62"/>
      <c r="AC82" s="143">
        <v>1</v>
      </c>
      <c r="AD82" s="13">
        <f t="shared" si="80"/>
        <v>7</v>
      </c>
      <c r="AE82" s="62"/>
      <c r="AF82" s="143"/>
      <c r="AG82" s="13">
        <f t="shared" si="81"/>
        <v>7</v>
      </c>
      <c r="AH82" s="62"/>
      <c r="AI82" s="143">
        <v>1</v>
      </c>
      <c r="AJ82" s="13">
        <f t="shared" si="82"/>
        <v>6</v>
      </c>
      <c r="AK82" s="62">
        <v>6</v>
      </c>
      <c r="AL82" s="143">
        <f>1+1</f>
        <v>2</v>
      </c>
      <c r="AM82" s="13">
        <f t="shared" si="83"/>
        <v>10</v>
      </c>
      <c r="AN82" s="62"/>
      <c r="AO82" s="143"/>
      <c r="AP82" s="13">
        <f t="shared" si="84"/>
        <v>10</v>
      </c>
      <c r="AQ82" s="62"/>
      <c r="AR82" s="143">
        <v>2</v>
      </c>
      <c r="AS82" s="13">
        <f t="shared" si="85"/>
        <v>8</v>
      </c>
      <c r="AT82" s="62">
        <v>6</v>
      </c>
      <c r="AU82" s="143">
        <v>1</v>
      </c>
      <c r="AV82" s="13">
        <f t="shared" si="86"/>
        <v>13</v>
      </c>
      <c r="AW82" s="62"/>
      <c r="AX82" s="143">
        <v>3</v>
      </c>
      <c r="AY82" s="13">
        <f t="shared" si="87"/>
        <v>10</v>
      </c>
      <c r="AZ82" s="62"/>
      <c r="BA82" s="143"/>
      <c r="BB82" s="13">
        <f t="shared" si="88"/>
        <v>10</v>
      </c>
      <c r="BC82" s="62"/>
      <c r="BD82" s="143"/>
      <c r="BE82" s="13">
        <f t="shared" si="89"/>
        <v>10</v>
      </c>
      <c r="BF82" s="62"/>
      <c r="BG82" s="143">
        <v>2</v>
      </c>
      <c r="BH82" s="13">
        <f t="shared" si="90"/>
        <v>8</v>
      </c>
      <c r="BI82" s="62"/>
      <c r="BJ82" s="143"/>
      <c r="BK82" s="13">
        <f t="shared" si="91"/>
        <v>8</v>
      </c>
      <c r="BL82" s="62">
        <v>6</v>
      </c>
      <c r="BM82" s="143">
        <v>3</v>
      </c>
      <c r="BN82" s="13">
        <f t="shared" si="92"/>
        <v>11</v>
      </c>
      <c r="BO82" s="62"/>
      <c r="BP82" s="143">
        <v>1</v>
      </c>
      <c r="BQ82" s="13">
        <f t="shared" si="93"/>
        <v>10</v>
      </c>
      <c r="BR82" s="62"/>
      <c r="BS82" s="143">
        <f>1+1</f>
        <v>2</v>
      </c>
      <c r="BT82" s="13">
        <f t="shared" si="37"/>
        <v>8</v>
      </c>
      <c r="BU82" s="62"/>
      <c r="BV82" s="143"/>
      <c r="BW82" s="13">
        <f t="shared" si="94"/>
        <v>8</v>
      </c>
      <c r="BX82" s="62"/>
      <c r="BY82" s="143"/>
      <c r="BZ82" s="13">
        <f t="shared" si="38"/>
        <v>8</v>
      </c>
      <c r="CA82" s="62"/>
      <c r="CB82" s="143">
        <v>2</v>
      </c>
      <c r="CC82" s="13">
        <f t="shared" si="39"/>
        <v>6</v>
      </c>
      <c r="CD82" s="62"/>
      <c r="CE82" s="143"/>
      <c r="CF82" s="13">
        <f t="shared" si="40"/>
        <v>6</v>
      </c>
      <c r="CG82" s="62">
        <v>6</v>
      </c>
      <c r="CH82" s="143">
        <f>1+2</f>
        <v>3</v>
      </c>
      <c r="CI82" s="13">
        <f t="shared" si="46"/>
        <v>9</v>
      </c>
      <c r="CJ82" s="62"/>
      <c r="CK82" s="143"/>
      <c r="CL82" s="13">
        <f t="shared" si="47"/>
        <v>9</v>
      </c>
      <c r="CM82" s="62"/>
      <c r="CN82" s="143"/>
      <c r="CO82" s="13">
        <f t="shared" si="41"/>
        <v>9</v>
      </c>
      <c r="CP82" s="62"/>
      <c r="CQ82" s="143"/>
      <c r="CR82" s="13">
        <f t="shared" si="48"/>
        <v>9</v>
      </c>
      <c r="CS82" s="62"/>
      <c r="CT82" s="143"/>
      <c r="CU82" s="14">
        <f t="shared" si="42"/>
        <v>9</v>
      </c>
      <c r="CV82" s="129">
        <f t="shared" si="43"/>
        <v>30</v>
      </c>
      <c r="CW82" s="130">
        <f t="shared" si="43"/>
        <v>27</v>
      </c>
      <c r="CX82" s="131">
        <f t="shared" si="95"/>
        <v>9</v>
      </c>
      <c r="CY82" s="163">
        <v>0</v>
      </c>
      <c r="CZ82" s="172">
        <f t="shared" si="45"/>
        <v>0</v>
      </c>
      <c r="DB82" s="2">
        <f t="shared" si="49"/>
        <v>9</v>
      </c>
      <c r="DC82" s="62"/>
      <c r="DD82" s="143"/>
      <c r="DE82" s="149">
        <f t="shared" si="50"/>
        <v>9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81</v>
      </c>
      <c r="G83" s="62"/>
      <c r="H83" s="143">
        <f>4+39</f>
        <v>43</v>
      </c>
      <c r="I83" s="13">
        <f t="shared" si="73"/>
        <v>38</v>
      </c>
      <c r="J83" s="62"/>
      <c r="K83" s="143"/>
      <c r="L83" s="13">
        <f t="shared" si="74"/>
        <v>38</v>
      </c>
      <c r="M83" s="62">
        <v>72</v>
      </c>
      <c r="N83" s="143">
        <f>4+12</f>
        <v>16</v>
      </c>
      <c r="O83" s="13">
        <f t="shared" si="75"/>
        <v>94</v>
      </c>
      <c r="P83" s="62"/>
      <c r="Q83" s="143">
        <f>2+27</f>
        <v>29</v>
      </c>
      <c r="R83" s="30">
        <f t="shared" si="76"/>
        <v>65</v>
      </c>
      <c r="S83" s="62"/>
      <c r="T83" s="143"/>
      <c r="U83" s="13">
        <f t="shared" si="77"/>
        <v>65</v>
      </c>
      <c r="V83" s="62">
        <v>48</v>
      </c>
      <c r="W83" s="143">
        <f>4+13</f>
        <v>17</v>
      </c>
      <c r="X83" s="13">
        <f t="shared" si="78"/>
        <v>96</v>
      </c>
      <c r="Y83" s="62"/>
      <c r="Z83" s="143">
        <f>2+4</f>
        <v>6</v>
      </c>
      <c r="AA83" s="13">
        <f t="shared" si="79"/>
        <v>90</v>
      </c>
      <c r="AB83" s="62">
        <v>48</v>
      </c>
      <c r="AC83" s="143">
        <v>27</v>
      </c>
      <c r="AD83" s="13">
        <f t="shared" si="80"/>
        <v>111</v>
      </c>
      <c r="AE83" s="62"/>
      <c r="AF83" s="143"/>
      <c r="AG83" s="13">
        <f t="shared" si="81"/>
        <v>111</v>
      </c>
      <c r="AH83" s="62"/>
      <c r="AI83" s="143">
        <v>20</v>
      </c>
      <c r="AJ83" s="13">
        <f t="shared" si="82"/>
        <v>91</v>
      </c>
      <c r="AK83" s="62">
        <v>24</v>
      </c>
      <c r="AL83" s="143">
        <f>2+26</f>
        <v>28</v>
      </c>
      <c r="AM83" s="13">
        <f t="shared" si="83"/>
        <v>87</v>
      </c>
      <c r="AN83" s="62"/>
      <c r="AO83" s="143"/>
      <c r="AP83" s="13">
        <f t="shared" si="84"/>
        <v>87</v>
      </c>
      <c r="AQ83" s="62"/>
      <c r="AR83" s="143">
        <f>2+23</f>
        <v>25</v>
      </c>
      <c r="AS83" s="13">
        <f t="shared" si="85"/>
        <v>62</v>
      </c>
      <c r="AT83" s="62">
        <v>48</v>
      </c>
      <c r="AU83" s="143">
        <f>3+16</f>
        <v>19</v>
      </c>
      <c r="AV83" s="13">
        <f t="shared" si="86"/>
        <v>91</v>
      </c>
      <c r="AW83" s="62"/>
      <c r="AX83" s="143">
        <f>2+22</f>
        <v>24</v>
      </c>
      <c r="AY83" s="13">
        <f t="shared" si="87"/>
        <v>67</v>
      </c>
      <c r="AZ83" s="62"/>
      <c r="BA83" s="143"/>
      <c r="BB83" s="13">
        <f t="shared" si="88"/>
        <v>67</v>
      </c>
      <c r="BC83" s="62">
        <v>48</v>
      </c>
      <c r="BD83" s="143">
        <f>2+13</f>
        <v>15</v>
      </c>
      <c r="BE83" s="13">
        <f t="shared" si="89"/>
        <v>100</v>
      </c>
      <c r="BF83" s="62"/>
      <c r="BG83" s="143">
        <f>4+17</f>
        <v>21</v>
      </c>
      <c r="BH83" s="13">
        <f t="shared" si="90"/>
        <v>79</v>
      </c>
      <c r="BI83" s="62"/>
      <c r="BJ83" s="143"/>
      <c r="BK83" s="13">
        <f t="shared" si="91"/>
        <v>79</v>
      </c>
      <c r="BL83" s="62">
        <v>24</v>
      </c>
      <c r="BM83" s="143">
        <f>2+15</f>
        <v>17</v>
      </c>
      <c r="BN83" s="13">
        <f t="shared" si="92"/>
        <v>86</v>
      </c>
      <c r="BO83" s="62"/>
      <c r="BP83" s="143">
        <f>4+11</f>
        <v>15</v>
      </c>
      <c r="BQ83" s="13">
        <f t="shared" si="93"/>
        <v>71</v>
      </c>
      <c r="BR83" s="62"/>
      <c r="BS83" s="143">
        <f>4+28</f>
        <v>32</v>
      </c>
      <c r="BT83" s="13">
        <f t="shared" si="37"/>
        <v>39</v>
      </c>
      <c r="BU83" s="62"/>
      <c r="BV83" s="143"/>
      <c r="BW83" s="13">
        <f t="shared" si="94"/>
        <v>39</v>
      </c>
      <c r="BX83" s="62">
        <v>72</v>
      </c>
      <c r="BY83" s="143">
        <f>4+18</f>
        <v>22</v>
      </c>
      <c r="BZ83" s="13">
        <f t="shared" si="38"/>
        <v>89</v>
      </c>
      <c r="CA83" s="62"/>
      <c r="CB83" s="143">
        <f>4+32</f>
        <v>36</v>
      </c>
      <c r="CC83" s="13">
        <f t="shared" si="39"/>
        <v>53</v>
      </c>
      <c r="CD83" s="62"/>
      <c r="CE83" s="143"/>
      <c r="CF83" s="13">
        <f t="shared" si="40"/>
        <v>53</v>
      </c>
      <c r="CG83" s="62">
        <v>36</v>
      </c>
      <c r="CH83" s="143">
        <f>2+13</f>
        <v>15</v>
      </c>
      <c r="CI83" s="13">
        <f t="shared" si="46"/>
        <v>74</v>
      </c>
      <c r="CJ83" s="62"/>
      <c r="CK83" s="143">
        <v>19</v>
      </c>
      <c r="CL83" s="13">
        <f t="shared" si="47"/>
        <v>55</v>
      </c>
      <c r="CM83" s="62"/>
      <c r="CN83" s="143"/>
      <c r="CO83" s="13">
        <f t="shared" si="41"/>
        <v>55</v>
      </c>
      <c r="CP83" s="62"/>
      <c r="CQ83" s="143"/>
      <c r="CR83" s="13">
        <f t="shared" si="48"/>
        <v>55</v>
      </c>
      <c r="CS83" s="62"/>
      <c r="CT83" s="143"/>
      <c r="CU83" s="14">
        <f t="shared" si="42"/>
        <v>55</v>
      </c>
      <c r="CV83" s="5">
        <f t="shared" si="43"/>
        <v>420</v>
      </c>
      <c r="CW83" s="4">
        <f t="shared" si="43"/>
        <v>446</v>
      </c>
      <c r="CX83" s="6">
        <f t="shared" si="95"/>
        <v>55</v>
      </c>
      <c r="CY83" s="164">
        <v>0</v>
      </c>
      <c r="CZ83" s="171">
        <f t="shared" si="45"/>
        <v>0</v>
      </c>
      <c r="DB83" s="2">
        <f t="shared" si="49"/>
        <v>55</v>
      </c>
      <c r="DC83" s="62"/>
      <c r="DD83" s="143"/>
      <c r="DE83" s="149">
        <f t="shared" si="50"/>
        <v>55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143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143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143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143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143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143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143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143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0</v>
      </c>
      <c r="G92" s="143"/>
      <c r="H92" s="143"/>
      <c r="I92" s="13">
        <f t="shared" si="73"/>
        <v>0</v>
      </c>
      <c r="J92" s="143"/>
      <c r="K92" s="143"/>
      <c r="L92" s="13">
        <f t="shared" si="74"/>
        <v>0</v>
      </c>
      <c r="M92" s="143"/>
      <c r="N92" s="143"/>
      <c r="O92" s="13">
        <f t="shared" si="75"/>
        <v>0</v>
      </c>
      <c r="P92" s="143"/>
      <c r="Q92" s="143"/>
      <c r="R92" s="30">
        <f t="shared" si="76"/>
        <v>0</v>
      </c>
      <c r="S92" s="143"/>
      <c r="T92" s="143"/>
      <c r="U92" s="13">
        <f t="shared" si="77"/>
        <v>0</v>
      </c>
      <c r="V92" s="143"/>
      <c r="W92" s="143"/>
      <c r="X92" s="13">
        <f t="shared" si="78"/>
        <v>0</v>
      </c>
      <c r="Y92" s="143"/>
      <c r="Z92" s="143"/>
      <c r="AA92" s="13">
        <f t="shared" si="57"/>
        <v>0</v>
      </c>
      <c r="AB92" s="143"/>
      <c r="AC92" s="143"/>
      <c r="AD92" s="13">
        <f t="shared" si="80"/>
        <v>0</v>
      </c>
      <c r="AE92" s="143"/>
      <c r="AF92" s="143"/>
      <c r="AG92" s="13">
        <f t="shared" si="81"/>
        <v>0</v>
      </c>
      <c r="AH92" s="143"/>
      <c r="AI92" s="143"/>
      <c r="AJ92" s="13">
        <f t="shared" si="82"/>
        <v>0</v>
      </c>
      <c r="AK92" s="143"/>
      <c r="AL92" s="143"/>
      <c r="AM92" s="13">
        <f t="shared" si="83"/>
        <v>0</v>
      </c>
      <c r="AN92" s="143"/>
      <c r="AO92" s="143"/>
      <c r="AP92" s="13">
        <f t="shared" si="84"/>
        <v>0</v>
      </c>
      <c r="AQ92" s="143"/>
      <c r="AR92" s="143"/>
      <c r="AS92" s="13">
        <f t="shared" si="85"/>
        <v>0</v>
      </c>
      <c r="AT92" s="143"/>
      <c r="AU92" s="143"/>
      <c r="AV92" s="13">
        <f t="shared" si="86"/>
        <v>0</v>
      </c>
      <c r="AW92" s="143"/>
      <c r="AX92" s="143"/>
      <c r="AY92" s="13">
        <f t="shared" si="87"/>
        <v>0</v>
      </c>
      <c r="AZ92" s="143"/>
      <c r="BA92" s="143"/>
      <c r="BB92" s="13">
        <f t="shared" si="88"/>
        <v>0</v>
      </c>
      <c r="BC92" s="143"/>
      <c r="BD92" s="143"/>
      <c r="BE92" s="13">
        <f t="shared" si="89"/>
        <v>0</v>
      </c>
      <c r="BF92" s="143"/>
      <c r="BG92" s="143"/>
      <c r="BH92" s="13">
        <f t="shared" si="90"/>
        <v>0</v>
      </c>
      <c r="BI92" s="143"/>
      <c r="BJ92" s="143"/>
      <c r="BK92" s="13">
        <f t="shared" si="91"/>
        <v>0</v>
      </c>
      <c r="BL92" s="143"/>
      <c r="BM92" s="143"/>
      <c r="BN92" s="13">
        <f t="shared" si="92"/>
        <v>0</v>
      </c>
      <c r="BO92" s="143"/>
      <c r="BP92" s="143"/>
      <c r="BQ92" s="13">
        <f t="shared" si="93"/>
        <v>0</v>
      </c>
      <c r="BR92" s="143"/>
      <c r="BS92" s="143"/>
      <c r="BT92" s="13">
        <f t="shared" si="37"/>
        <v>0</v>
      </c>
      <c r="BU92" s="143"/>
      <c r="BV92" s="143"/>
      <c r="BW92" s="13">
        <f t="shared" si="94"/>
        <v>0</v>
      </c>
      <c r="BX92" s="143"/>
      <c r="BY92" s="143"/>
      <c r="BZ92" s="13">
        <f t="shared" si="103"/>
        <v>0</v>
      </c>
      <c r="CA92" s="143"/>
      <c r="CB92" s="143"/>
      <c r="CC92" s="13">
        <f t="shared" si="104"/>
        <v>0</v>
      </c>
      <c r="CD92" s="143"/>
      <c r="CE92" s="143"/>
      <c r="CF92" s="13">
        <f t="shared" si="105"/>
        <v>0</v>
      </c>
      <c r="CG92" s="143"/>
      <c r="CH92" s="143"/>
      <c r="CI92" s="13">
        <f t="shared" si="106"/>
        <v>0</v>
      </c>
      <c r="CJ92" s="143"/>
      <c r="CK92" s="143"/>
      <c r="CL92" s="13">
        <f t="shared" si="107"/>
        <v>0</v>
      </c>
      <c r="CM92" s="143"/>
      <c r="CN92" s="143"/>
      <c r="CO92" s="13">
        <f t="shared" si="108"/>
        <v>0</v>
      </c>
      <c r="CP92" s="143"/>
      <c r="CQ92" s="143"/>
      <c r="CR92" s="13">
        <f t="shared" si="109"/>
        <v>0</v>
      </c>
      <c r="CS92" s="143"/>
      <c r="CT92" s="143"/>
      <c r="CU92" s="14">
        <f t="shared" si="42"/>
        <v>0</v>
      </c>
      <c r="CV92" s="5">
        <f t="shared" si="43"/>
        <v>0</v>
      </c>
      <c r="CW92" s="4">
        <f t="shared" si="43"/>
        <v>0</v>
      </c>
      <c r="CX92" s="6">
        <f t="shared" si="95"/>
        <v>0</v>
      </c>
      <c r="CY92" s="165">
        <v>0</v>
      </c>
      <c r="CZ92" s="171">
        <f t="shared" si="45"/>
        <v>0</v>
      </c>
      <c r="DB92" s="2">
        <f t="shared" si="49"/>
        <v>0</v>
      </c>
      <c r="DC92" s="62"/>
      <c r="DD92" s="143"/>
      <c r="DE92" s="149">
        <f t="shared" si="50"/>
        <v>0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143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130990.74999999999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141470.00999999998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</mergeCells>
  <phoneticPr fontId="1"/>
  <pageMargins left="0.7" right="0.7" top="0.75" bottom="0.75" header="0.3" footer="0.3"/>
  <pageSetup paperSize="9" scale="60" fitToHeight="2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8511-E439-454A-ACF1-D17EBC70EC23}">
  <sheetPr codeName="Sheet36">
    <tabColor rgb="FF00B0F0"/>
    <pageSetUpPr fitToPage="1"/>
  </sheetPr>
  <dimension ref="A1:DE133"/>
  <sheetViews>
    <sheetView zoomScale="160" zoomScaleNormal="160" workbookViewId="0">
      <pane xSplit="5" ySplit="4" topLeftCell="CI5" activePane="bottomRight" state="frozen"/>
      <selection pane="topRight" activeCell="F1" sqref="F1"/>
      <selection pane="bottomLeft" activeCell="A5" sqref="A5"/>
      <selection pane="bottomRight" activeCell="CT78" sqref="CT78"/>
    </sheetView>
  </sheetViews>
  <sheetFormatPr defaultColWidth="9" defaultRowHeight="14.4"/>
  <cols>
    <col min="1" max="1" width="3.33203125" style="1" customWidth="1"/>
    <col min="2" max="2" width="20.109375" style="1" customWidth="1"/>
    <col min="3" max="3" width="5.109375" style="1" customWidth="1"/>
    <col min="4" max="4" width="9.44140625" style="1" customWidth="1"/>
    <col min="5" max="5" width="9" style="1" hidden="1" customWidth="1"/>
    <col min="6" max="6" width="7.44140625" style="31" hidden="1" customWidth="1"/>
    <col min="7" max="8" width="5" style="19" hidden="1" customWidth="1"/>
    <col min="9" max="9" width="5" style="10" hidden="1" customWidth="1"/>
    <col min="10" max="11" width="5" style="19" hidden="1" customWidth="1"/>
    <col min="12" max="12" width="5" style="10" hidden="1" customWidth="1"/>
    <col min="13" max="13" width="5" style="19" hidden="1" customWidth="1"/>
    <col min="14" max="14" width="4.77734375" style="26" hidden="1" customWidth="1"/>
    <col min="15" max="15" width="4.33203125" style="10" hidden="1" customWidth="1"/>
    <col min="16" max="16" width="5" style="19" hidden="1" customWidth="1"/>
    <col min="17" max="17" width="5" style="26" hidden="1" customWidth="1"/>
    <col min="18" max="18" width="5.109375" style="10" hidden="1" customWidth="1"/>
    <col min="19" max="19" width="5.109375" style="19" hidden="1" customWidth="1"/>
    <col min="20" max="20" width="5" style="19" hidden="1" customWidth="1"/>
    <col min="21" max="21" width="5.33203125" style="10" hidden="1" customWidth="1"/>
    <col min="22" max="23" width="5" style="19" hidden="1" customWidth="1"/>
    <col min="24" max="24" width="5" style="10" hidden="1" customWidth="1"/>
    <col min="25" max="26" width="5" style="19" hidden="1" customWidth="1"/>
    <col min="27" max="27" width="5" style="10" hidden="1" customWidth="1"/>
    <col min="28" max="28" width="5" style="19" hidden="1" customWidth="1"/>
    <col min="29" max="29" width="5.109375" style="19" hidden="1" customWidth="1"/>
    <col min="30" max="30" width="4.88671875" style="10" hidden="1" customWidth="1"/>
    <col min="31" max="31" width="5.44140625" style="19" hidden="1" customWidth="1"/>
    <col min="32" max="32" width="5" style="26" hidden="1" customWidth="1"/>
    <col min="33" max="33" width="5" style="10" hidden="1" customWidth="1"/>
    <col min="34" max="34" width="5" style="19" hidden="1" customWidth="1"/>
    <col min="35" max="35" width="5" style="26" hidden="1" customWidth="1"/>
    <col min="36" max="36" width="5" style="10" hidden="1" customWidth="1"/>
    <col min="37" max="37" width="5" style="19" hidden="1" customWidth="1"/>
    <col min="38" max="38" width="5" style="26" hidden="1" customWidth="1"/>
    <col min="39" max="39" width="5" style="10" hidden="1" customWidth="1"/>
    <col min="40" max="40" width="5" style="19" hidden="1" customWidth="1"/>
    <col min="41" max="41" width="5" style="23" hidden="1" customWidth="1"/>
    <col min="42" max="42" width="5" style="10" hidden="1" customWidth="1"/>
    <col min="43" max="43" width="5.109375" style="19" hidden="1" customWidth="1"/>
    <col min="44" max="44" width="5" style="26" hidden="1" customWidth="1"/>
    <col min="45" max="45" width="4.88671875" style="19" hidden="1" customWidth="1"/>
    <col min="46" max="47" width="5" style="19" hidden="1" customWidth="1"/>
    <col min="48" max="48" width="5" style="10" hidden="1" customWidth="1"/>
    <col min="49" max="49" width="5" style="19" hidden="1" customWidth="1"/>
    <col min="50" max="50" width="5" style="26" hidden="1" customWidth="1"/>
    <col min="51" max="51" width="5" style="10" hidden="1" customWidth="1"/>
    <col min="52" max="52" width="5" style="19" hidden="1" customWidth="1"/>
    <col min="53" max="53" width="5" style="26" hidden="1" customWidth="1"/>
    <col min="54" max="54" width="5" style="10" hidden="1" customWidth="1"/>
    <col min="55" max="56" width="5" style="19" hidden="1" customWidth="1"/>
    <col min="57" max="57" width="5.21875" style="10" hidden="1" customWidth="1"/>
    <col min="58" max="59" width="5" style="19" hidden="1" customWidth="1"/>
    <col min="60" max="60" width="5" style="10" hidden="1" customWidth="1"/>
    <col min="61" max="61" width="5" style="19" hidden="1" customWidth="1"/>
    <col min="62" max="62" width="5" style="26" hidden="1" customWidth="1"/>
    <col min="63" max="63" width="4.88671875" style="10" hidden="1" customWidth="1"/>
    <col min="64" max="64" width="5" style="19" hidden="1" customWidth="1"/>
    <col min="65" max="65" width="5.21875" style="19" hidden="1" customWidth="1"/>
    <col min="66" max="66" width="5" style="10" hidden="1" customWidth="1"/>
    <col min="67" max="67" width="5.109375" style="10" hidden="1" customWidth="1"/>
    <col min="68" max="75" width="5" style="10" hidden="1" customWidth="1"/>
    <col min="76" max="76" width="5" style="39" hidden="1" customWidth="1"/>
    <col min="77" max="82" width="5" style="10" hidden="1" customWidth="1"/>
    <col min="83" max="83" width="5" style="39" hidden="1" customWidth="1"/>
    <col min="84" max="86" width="5" style="10" hidden="1" customWidth="1"/>
    <col min="87" max="87" width="4.88671875" style="10" hidden="1" customWidth="1"/>
    <col min="88" max="94" width="5" style="10" hidden="1" customWidth="1"/>
    <col min="95" max="99" width="5" style="10" customWidth="1"/>
    <col min="100" max="102" width="6.33203125" style="1" customWidth="1"/>
    <col min="103" max="103" width="5.6640625" style="1" customWidth="1"/>
    <col min="104" max="104" width="7.77734375" style="1" customWidth="1"/>
    <col min="105" max="105" width="1.44140625" style="1" customWidth="1"/>
    <col min="106" max="106" width="5.44140625" style="1" customWidth="1"/>
    <col min="107" max="107" width="4.21875" style="1" customWidth="1"/>
    <col min="108" max="108" width="4.88671875" style="1" customWidth="1"/>
    <col min="109" max="109" width="5.88671875" style="1" customWidth="1"/>
    <col min="110" max="110" width="6.109375" style="1" customWidth="1"/>
    <col min="111" max="16384" width="9" style="1"/>
  </cols>
  <sheetData>
    <row r="1" spans="1:109">
      <c r="A1" s="1" t="s">
        <v>0</v>
      </c>
      <c r="B1" s="16"/>
      <c r="C1" s="1">
        <v>7</v>
      </c>
      <c r="D1" s="57">
        <v>1</v>
      </c>
      <c r="E1" s="1" t="s">
        <v>1</v>
      </c>
      <c r="F1" s="31" t="s">
        <v>2</v>
      </c>
      <c r="AE1" s="19" t="s">
        <v>3</v>
      </c>
      <c r="CM1" s="152"/>
      <c r="CP1" s="152"/>
      <c r="CS1" s="152"/>
    </row>
    <row r="2" spans="1:109" ht="15" thickBot="1">
      <c r="C2" s="18"/>
      <c r="D2" s="18"/>
      <c r="AT2" s="29"/>
      <c r="BM2" s="23"/>
      <c r="CM2" s="152"/>
      <c r="CS2" s="151"/>
      <c r="CT2" s="182"/>
      <c r="DD2" s="182"/>
    </row>
    <row r="3" spans="1:109" ht="19.95" customHeight="1">
      <c r="A3" s="215" t="s">
        <v>4</v>
      </c>
      <c r="B3" s="2" t="s">
        <v>5</v>
      </c>
      <c r="C3" s="2"/>
      <c r="D3" s="128" t="s">
        <v>189</v>
      </c>
      <c r="E3" s="2"/>
      <c r="F3" s="70"/>
      <c r="G3" s="217">
        <v>1</v>
      </c>
      <c r="H3" s="218"/>
      <c r="I3" s="219"/>
      <c r="J3" s="220">
        <v>2</v>
      </c>
      <c r="K3" s="218"/>
      <c r="L3" s="219"/>
      <c r="M3" s="220">
        <v>3</v>
      </c>
      <c r="N3" s="218"/>
      <c r="O3" s="219"/>
      <c r="P3" s="220">
        <v>4</v>
      </c>
      <c r="Q3" s="218"/>
      <c r="R3" s="219"/>
      <c r="S3" s="220">
        <v>5</v>
      </c>
      <c r="T3" s="218"/>
      <c r="U3" s="219"/>
      <c r="V3" s="214">
        <v>6</v>
      </c>
      <c r="W3" s="214"/>
      <c r="X3" s="214"/>
      <c r="Y3" s="214">
        <v>7</v>
      </c>
      <c r="Z3" s="214"/>
      <c r="AA3" s="214"/>
      <c r="AB3" s="214">
        <v>8</v>
      </c>
      <c r="AC3" s="214"/>
      <c r="AD3" s="214"/>
      <c r="AE3" s="214">
        <v>9</v>
      </c>
      <c r="AF3" s="214"/>
      <c r="AG3" s="214"/>
      <c r="AH3" s="214">
        <v>10</v>
      </c>
      <c r="AI3" s="214"/>
      <c r="AJ3" s="214"/>
      <c r="AK3" s="214">
        <v>11</v>
      </c>
      <c r="AL3" s="214"/>
      <c r="AM3" s="214"/>
      <c r="AN3" s="214">
        <v>12</v>
      </c>
      <c r="AO3" s="214"/>
      <c r="AP3" s="214"/>
      <c r="AQ3" s="214">
        <v>13</v>
      </c>
      <c r="AR3" s="214"/>
      <c r="AS3" s="214"/>
      <c r="AT3" s="214">
        <v>14</v>
      </c>
      <c r="AU3" s="214"/>
      <c r="AV3" s="214"/>
      <c r="AW3" s="214">
        <v>15</v>
      </c>
      <c r="AX3" s="214"/>
      <c r="AY3" s="214"/>
      <c r="AZ3" s="214">
        <v>16</v>
      </c>
      <c r="BA3" s="214"/>
      <c r="BB3" s="214"/>
      <c r="BC3" s="214">
        <v>17</v>
      </c>
      <c r="BD3" s="214"/>
      <c r="BE3" s="214"/>
      <c r="BF3" s="214">
        <v>18</v>
      </c>
      <c r="BG3" s="214"/>
      <c r="BH3" s="214"/>
      <c r="BI3" s="214">
        <v>19</v>
      </c>
      <c r="BJ3" s="214"/>
      <c r="BK3" s="214"/>
      <c r="BL3" s="214">
        <v>20</v>
      </c>
      <c r="BM3" s="214"/>
      <c r="BN3" s="214"/>
      <c r="BO3" s="220">
        <v>21</v>
      </c>
      <c r="BP3" s="218"/>
      <c r="BQ3" s="219"/>
      <c r="BR3" s="220">
        <v>22</v>
      </c>
      <c r="BS3" s="218"/>
      <c r="BT3" s="219"/>
      <c r="BU3" s="214">
        <v>23</v>
      </c>
      <c r="BV3" s="214"/>
      <c r="BW3" s="214"/>
      <c r="BX3" s="214">
        <v>24</v>
      </c>
      <c r="BY3" s="214"/>
      <c r="BZ3" s="214"/>
      <c r="CA3" s="214">
        <v>25</v>
      </c>
      <c r="CB3" s="214"/>
      <c r="CC3" s="214"/>
      <c r="CD3" s="214">
        <v>26</v>
      </c>
      <c r="CE3" s="214"/>
      <c r="CF3" s="214"/>
      <c r="CG3" s="214">
        <v>27</v>
      </c>
      <c r="CH3" s="214"/>
      <c r="CI3" s="214"/>
      <c r="CJ3" s="214">
        <v>28</v>
      </c>
      <c r="CK3" s="214"/>
      <c r="CL3" s="214"/>
      <c r="CM3" s="214">
        <v>29</v>
      </c>
      <c r="CN3" s="214"/>
      <c r="CO3" s="214"/>
      <c r="CP3" s="214">
        <v>30</v>
      </c>
      <c r="CQ3" s="214"/>
      <c r="CR3" s="214"/>
      <c r="CS3" s="214">
        <v>31</v>
      </c>
      <c r="CT3" s="214"/>
      <c r="CU3" s="214"/>
      <c r="CV3" s="221" t="s">
        <v>6</v>
      </c>
      <c r="CW3" s="222"/>
      <c r="CX3" s="223"/>
      <c r="DB3" s="2"/>
      <c r="DC3" s="224" t="s">
        <v>232</v>
      </c>
      <c r="DD3" s="225"/>
      <c r="DE3" s="225"/>
    </row>
    <row r="4" spans="1:109">
      <c r="A4" s="216"/>
      <c r="B4" s="38" t="s">
        <v>7</v>
      </c>
      <c r="C4" s="38" t="s">
        <v>8</v>
      </c>
      <c r="D4" s="8" t="s">
        <v>9</v>
      </c>
      <c r="E4" s="8" t="s">
        <v>10</v>
      </c>
      <c r="F4" s="65" t="s">
        <v>17</v>
      </c>
      <c r="G4" s="67" t="s">
        <v>11</v>
      </c>
      <c r="H4" s="20" t="s">
        <v>12</v>
      </c>
      <c r="I4" s="11" t="s">
        <v>13</v>
      </c>
      <c r="J4" s="20" t="s">
        <v>11</v>
      </c>
      <c r="K4" s="20" t="s">
        <v>12</v>
      </c>
      <c r="L4" s="11" t="s">
        <v>13</v>
      </c>
      <c r="M4" s="20" t="s">
        <v>11</v>
      </c>
      <c r="N4" s="24" t="s">
        <v>12</v>
      </c>
      <c r="O4" s="11" t="s">
        <v>13</v>
      </c>
      <c r="P4" s="20" t="s">
        <v>11</v>
      </c>
      <c r="Q4" s="24" t="s">
        <v>12</v>
      </c>
      <c r="R4" s="11" t="s">
        <v>13</v>
      </c>
      <c r="S4" s="20" t="s">
        <v>11</v>
      </c>
      <c r="T4" s="28" t="s">
        <v>12</v>
      </c>
      <c r="U4" s="11" t="s">
        <v>13</v>
      </c>
      <c r="V4" s="20" t="s">
        <v>11</v>
      </c>
      <c r="W4" s="20" t="s">
        <v>12</v>
      </c>
      <c r="X4" s="11" t="s">
        <v>13</v>
      </c>
      <c r="Y4" s="20" t="s">
        <v>11</v>
      </c>
      <c r="Z4" s="20" t="s">
        <v>12</v>
      </c>
      <c r="AA4" s="11" t="s">
        <v>13</v>
      </c>
      <c r="AB4" s="28" t="s">
        <v>11</v>
      </c>
      <c r="AC4" s="24" t="s">
        <v>12</v>
      </c>
      <c r="AD4" s="11" t="s">
        <v>13</v>
      </c>
      <c r="AE4" s="20" t="s">
        <v>11</v>
      </c>
      <c r="AF4" s="24" t="s">
        <v>12</v>
      </c>
      <c r="AG4" s="11" t="s">
        <v>13</v>
      </c>
      <c r="AH4" s="20" t="s">
        <v>14</v>
      </c>
      <c r="AI4" s="24" t="s">
        <v>12</v>
      </c>
      <c r="AJ4" s="11" t="s">
        <v>13</v>
      </c>
      <c r="AK4" s="22" t="s">
        <v>11</v>
      </c>
      <c r="AL4" s="24" t="s">
        <v>12</v>
      </c>
      <c r="AM4" s="11" t="s">
        <v>13</v>
      </c>
      <c r="AN4" s="20" t="s">
        <v>11</v>
      </c>
      <c r="AO4" s="24" t="s">
        <v>12</v>
      </c>
      <c r="AP4" s="11" t="s">
        <v>13</v>
      </c>
      <c r="AQ4" s="20" t="s">
        <v>11</v>
      </c>
      <c r="AR4" s="24" t="s">
        <v>12</v>
      </c>
      <c r="AS4" s="11" t="s">
        <v>13</v>
      </c>
      <c r="AT4" s="20" t="s">
        <v>11</v>
      </c>
      <c r="AU4" s="20" t="s">
        <v>12</v>
      </c>
      <c r="AV4" s="11" t="s">
        <v>13</v>
      </c>
      <c r="AW4" s="20" t="s">
        <v>11</v>
      </c>
      <c r="AX4" s="24" t="s">
        <v>12</v>
      </c>
      <c r="AY4" s="11" t="s">
        <v>13</v>
      </c>
      <c r="AZ4" s="20" t="s">
        <v>11</v>
      </c>
      <c r="BA4" s="24" t="s">
        <v>12</v>
      </c>
      <c r="BB4" s="11" t="s">
        <v>13</v>
      </c>
      <c r="BC4" s="20" t="s">
        <v>11</v>
      </c>
      <c r="BD4" s="20" t="s">
        <v>12</v>
      </c>
      <c r="BE4" s="11" t="s">
        <v>13</v>
      </c>
      <c r="BF4" s="20" t="s">
        <v>11</v>
      </c>
      <c r="BG4" s="20" t="s">
        <v>12</v>
      </c>
      <c r="BH4" s="11" t="s">
        <v>13</v>
      </c>
      <c r="BI4" s="20" t="s">
        <v>11</v>
      </c>
      <c r="BJ4" s="24" t="s">
        <v>12</v>
      </c>
      <c r="BK4" s="11" t="s">
        <v>13</v>
      </c>
      <c r="BL4" s="20" t="s">
        <v>11</v>
      </c>
      <c r="BM4" s="20" t="s">
        <v>12</v>
      </c>
      <c r="BN4" s="11" t="s">
        <v>13</v>
      </c>
      <c r="BO4" s="17" t="s">
        <v>11</v>
      </c>
      <c r="BP4" s="17" t="s">
        <v>12</v>
      </c>
      <c r="BQ4" s="11" t="s">
        <v>13</v>
      </c>
      <c r="BR4" s="17" t="s">
        <v>11</v>
      </c>
      <c r="BS4" s="17" t="s">
        <v>12</v>
      </c>
      <c r="BT4" s="11" t="s">
        <v>13</v>
      </c>
      <c r="BU4" s="17" t="s">
        <v>11</v>
      </c>
      <c r="BV4" s="17" t="s">
        <v>12</v>
      </c>
      <c r="BW4" s="11" t="s">
        <v>13</v>
      </c>
      <c r="BX4" s="40" t="s">
        <v>11</v>
      </c>
      <c r="BY4" s="17" t="s">
        <v>12</v>
      </c>
      <c r="BZ4" s="11" t="s">
        <v>13</v>
      </c>
      <c r="CA4" s="17" t="s">
        <v>11</v>
      </c>
      <c r="CB4" s="17" t="s">
        <v>12</v>
      </c>
      <c r="CC4" s="11" t="s">
        <v>13</v>
      </c>
      <c r="CD4" s="17" t="s">
        <v>11</v>
      </c>
      <c r="CE4" s="40" t="s">
        <v>12</v>
      </c>
      <c r="CF4" s="11" t="s">
        <v>13</v>
      </c>
      <c r="CG4" s="17" t="s">
        <v>11</v>
      </c>
      <c r="CH4" s="17" t="s">
        <v>12</v>
      </c>
      <c r="CI4" s="11" t="s">
        <v>13</v>
      </c>
      <c r="CJ4" s="17" t="s">
        <v>11</v>
      </c>
      <c r="CK4" s="17" t="s">
        <v>12</v>
      </c>
      <c r="CL4" s="11" t="s">
        <v>13</v>
      </c>
      <c r="CM4" s="17" t="s">
        <v>11</v>
      </c>
      <c r="CN4" s="17" t="s">
        <v>12</v>
      </c>
      <c r="CO4" s="11" t="s">
        <v>13</v>
      </c>
      <c r="CP4" s="17" t="s">
        <v>11</v>
      </c>
      <c r="CQ4" s="17" t="s">
        <v>12</v>
      </c>
      <c r="CR4" s="11" t="s">
        <v>13</v>
      </c>
      <c r="CS4" s="17" t="s">
        <v>11</v>
      </c>
      <c r="CT4" s="17" t="s">
        <v>12</v>
      </c>
      <c r="CU4" s="12" t="s">
        <v>13</v>
      </c>
      <c r="CV4" s="167" t="s">
        <v>15</v>
      </c>
      <c r="CW4" s="168" t="s">
        <v>16</v>
      </c>
      <c r="CX4" s="169" t="s">
        <v>17</v>
      </c>
      <c r="CY4" s="170" t="s">
        <v>18</v>
      </c>
      <c r="CZ4" s="168" t="s">
        <v>19</v>
      </c>
      <c r="DB4" s="55" t="s">
        <v>231</v>
      </c>
      <c r="DC4" s="17" t="s">
        <v>11</v>
      </c>
      <c r="DD4" s="17" t="s">
        <v>12</v>
      </c>
      <c r="DE4" s="154" t="s">
        <v>13</v>
      </c>
    </row>
    <row r="5" spans="1:109" ht="15.75" customHeight="1">
      <c r="A5" s="100"/>
      <c r="B5" s="54" t="s">
        <v>20</v>
      </c>
      <c r="C5" s="104" t="s">
        <v>50</v>
      </c>
      <c r="D5" s="34">
        <v>10</v>
      </c>
      <c r="E5" s="34" t="s">
        <v>22</v>
      </c>
      <c r="F5" s="14">
        <v>3.7999999999999985</v>
      </c>
      <c r="G5" s="62"/>
      <c r="H5" s="143"/>
      <c r="I5" s="13">
        <f t="shared" ref="I5:I67" si="0">F5+G5-H5</f>
        <v>3.7999999999999985</v>
      </c>
      <c r="J5" s="62"/>
      <c r="K5" s="143"/>
      <c r="L5" s="13">
        <f t="shared" ref="L5:L67" si="1">I5+J5-K5</f>
        <v>3.7999999999999985</v>
      </c>
      <c r="M5" s="61"/>
      <c r="N5" s="143"/>
      <c r="O5" s="13">
        <f t="shared" ref="O5:O67" si="2">L5+M5-N5</f>
        <v>3.7999999999999985</v>
      </c>
      <c r="P5" s="62"/>
      <c r="Q5" s="143"/>
      <c r="R5" s="13">
        <f t="shared" ref="R5:R67" si="3">O5+P5-Q5</f>
        <v>3.7999999999999985</v>
      </c>
      <c r="S5" s="61"/>
      <c r="T5" s="143"/>
      <c r="U5" s="13">
        <f t="shared" ref="U5:U68" si="4">R5+S5-T5</f>
        <v>3.7999999999999985</v>
      </c>
      <c r="V5" s="62"/>
      <c r="W5" s="143"/>
      <c r="X5" s="13">
        <f t="shared" ref="X5:X68" si="5">U5+V5-W5</f>
        <v>3.7999999999999985</v>
      </c>
      <c r="Y5" s="62"/>
      <c r="Z5" s="143"/>
      <c r="AA5" s="13">
        <f>X5+Y5-Z5</f>
        <v>3.7999999999999985</v>
      </c>
      <c r="AB5" s="62"/>
      <c r="AC5" s="143"/>
      <c r="AD5" s="13">
        <f>AA5+AB5-AC5</f>
        <v>3.7999999999999985</v>
      </c>
      <c r="AE5" s="62"/>
      <c r="AF5" s="143"/>
      <c r="AG5" s="13">
        <f>AD5+AE5-AF5</f>
        <v>3.7999999999999985</v>
      </c>
      <c r="AH5" s="62"/>
      <c r="AI5" s="143"/>
      <c r="AJ5" s="13">
        <f>AG5+AH5-AI5</f>
        <v>3.7999999999999985</v>
      </c>
      <c r="AK5" s="62"/>
      <c r="AL5" s="143"/>
      <c r="AM5" s="13">
        <f t="shared" ref="AM5:AM68" si="6">AJ5+AK5-AL5</f>
        <v>3.7999999999999985</v>
      </c>
      <c r="AN5" s="62"/>
      <c r="AO5" s="143"/>
      <c r="AP5" s="13">
        <f t="shared" ref="AP5:AP68" si="7">AM5+AN5-AO5</f>
        <v>3.7999999999999985</v>
      </c>
      <c r="AQ5" s="62"/>
      <c r="AR5" s="143"/>
      <c r="AS5" s="13">
        <f t="shared" ref="AS5:AS68" si="8">AP5+AQ5-AR5</f>
        <v>3.7999999999999985</v>
      </c>
      <c r="AT5" s="62"/>
      <c r="AU5" s="143">
        <v>0.2</v>
      </c>
      <c r="AV5" s="13">
        <f t="shared" ref="AV5:AV68" si="9">AS5+AT5-AU5</f>
        <v>3.5999999999999983</v>
      </c>
      <c r="AW5" s="62"/>
      <c r="AX5" s="143"/>
      <c r="AY5" s="13">
        <f t="shared" ref="AY5:AY68" si="10">AV5+AW5-AX5</f>
        <v>3.5999999999999983</v>
      </c>
      <c r="AZ5" s="62"/>
      <c r="BA5" s="143"/>
      <c r="BB5" s="13">
        <f t="shared" ref="BB5:BB68" si="11">AY5+AZ5-BA5</f>
        <v>3.5999999999999983</v>
      </c>
      <c r="BC5" s="62"/>
      <c r="BD5" s="143">
        <v>0.4</v>
      </c>
      <c r="BE5" s="13">
        <f t="shared" ref="BE5:BE68" si="12">BB5+BC5-BD5</f>
        <v>3.1999999999999984</v>
      </c>
      <c r="BF5" s="62">
        <v>-1.8</v>
      </c>
      <c r="BG5" s="143">
        <v>1.4</v>
      </c>
      <c r="BH5" s="13">
        <f t="shared" ref="BH5:BH68" si="13">BE5+BF5-BG5</f>
        <v>0</v>
      </c>
      <c r="BI5" s="184"/>
      <c r="BJ5" s="143"/>
      <c r="BK5" s="13">
        <f t="shared" ref="BK5:BK68" si="14">BH5+BI5-BJ5</f>
        <v>0</v>
      </c>
      <c r="BL5" s="62">
        <v>10</v>
      </c>
      <c r="BM5" s="143"/>
      <c r="BN5" s="13">
        <f t="shared" ref="BN5:BN68" si="15">BK5+BL5-BM5</f>
        <v>10</v>
      </c>
      <c r="BO5" s="62"/>
      <c r="BP5" s="143"/>
      <c r="BQ5" s="13">
        <f t="shared" ref="BQ5:BQ68" si="16">BN5+BO5-BP5</f>
        <v>10</v>
      </c>
      <c r="BR5" s="62"/>
      <c r="BS5" s="143"/>
      <c r="BT5" s="13">
        <f t="shared" ref="BT5:BT68" si="17">BQ5+BR5-BS5</f>
        <v>10</v>
      </c>
      <c r="BU5" s="62"/>
      <c r="BV5" s="143"/>
      <c r="BW5" s="13">
        <f t="shared" ref="BW5:BW68" si="18">BT5+BU5-BV5</f>
        <v>10</v>
      </c>
      <c r="BX5" s="62"/>
      <c r="BY5" s="143"/>
      <c r="BZ5" s="13">
        <f t="shared" ref="BZ5:BZ68" si="19">BW5+BX5-BY5</f>
        <v>10</v>
      </c>
      <c r="CA5" s="62"/>
      <c r="CB5" s="143"/>
      <c r="CC5" s="13">
        <f t="shared" ref="CC5:CC68" si="20">BZ5+CA5-CB5</f>
        <v>10</v>
      </c>
      <c r="CD5" s="62"/>
      <c r="CE5" s="143"/>
      <c r="CF5" s="13">
        <f t="shared" ref="CF5:CF68" si="21">CC5+CD5-CE5</f>
        <v>10</v>
      </c>
      <c r="CG5" s="62"/>
      <c r="CH5" s="143"/>
      <c r="CI5" s="13">
        <f>CF5+CG5-CH5</f>
        <v>10</v>
      </c>
      <c r="CJ5" s="62"/>
      <c r="CK5" s="143"/>
      <c r="CL5" s="13">
        <f>CI5+CJ5-CK5</f>
        <v>10</v>
      </c>
      <c r="CM5" s="62"/>
      <c r="CN5" s="143"/>
      <c r="CO5" s="181">
        <f t="shared" ref="CO5:CO68" si="22">CL5+CM5-CN5</f>
        <v>10</v>
      </c>
      <c r="CP5" s="62"/>
      <c r="CQ5" s="143"/>
      <c r="CR5" s="181">
        <f>CO5+CP5-CQ5</f>
        <v>10</v>
      </c>
      <c r="CS5" s="61"/>
      <c r="CT5" s="143"/>
      <c r="CU5" s="14">
        <f t="shared" ref="CU5:CU68" si="23">CR5+CS5-CT5</f>
        <v>10</v>
      </c>
      <c r="CV5" s="5">
        <f t="shared" ref="CV5:CW36" si="24">G5+J5+M5+P5+S5+V5+Y5+AB5+AE5+AH5+AK5+AN5+AQ5+AT5+AW5+AZ5+BC5+BF5+BI5+BL5+BO5+BR5+BU5+BX5+CA5+CD5+CG5+CJ5+CM5+CP5+CS5</f>
        <v>8.1999999999999993</v>
      </c>
      <c r="CW5" s="4">
        <f t="shared" si="24"/>
        <v>2</v>
      </c>
      <c r="CX5" s="6">
        <f t="shared" ref="CX5:CX68" si="25">CU5</f>
        <v>10</v>
      </c>
      <c r="CY5" s="162">
        <v>125</v>
      </c>
      <c r="CZ5" s="171">
        <f t="shared" ref="CZ5:CZ68" si="26">CX5*CY5</f>
        <v>1250</v>
      </c>
      <c r="DB5" s="2">
        <f>CU5</f>
        <v>10</v>
      </c>
      <c r="DC5" s="61"/>
      <c r="DD5" s="143"/>
      <c r="DE5" s="149">
        <f>DC5+DB5-DD5</f>
        <v>10</v>
      </c>
    </row>
    <row r="6" spans="1:109" ht="15.75" customHeight="1">
      <c r="A6" s="100" t="s">
        <v>23</v>
      </c>
      <c r="B6" s="3" t="s">
        <v>24</v>
      </c>
      <c r="C6" s="104" t="s">
        <v>25</v>
      </c>
      <c r="D6" s="34">
        <v>2</v>
      </c>
      <c r="E6" s="34" t="s">
        <v>26</v>
      </c>
      <c r="F6" s="14">
        <v>11</v>
      </c>
      <c r="G6" s="62"/>
      <c r="H6" s="143"/>
      <c r="I6" s="13">
        <f t="shared" si="0"/>
        <v>11</v>
      </c>
      <c r="J6" s="62"/>
      <c r="K6" s="143"/>
      <c r="L6" s="13">
        <f t="shared" si="1"/>
        <v>11</v>
      </c>
      <c r="M6" s="61">
        <v>10</v>
      </c>
      <c r="N6" s="143">
        <f>1</f>
        <v>1</v>
      </c>
      <c r="O6" s="13">
        <f t="shared" si="2"/>
        <v>20</v>
      </c>
      <c r="P6" s="62"/>
      <c r="Q6" s="143">
        <f>2</f>
        <v>2</v>
      </c>
      <c r="R6" s="13">
        <f t="shared" si="3"/>
        <v>18</v>
      </c>
      <c r="S6" s="61"/>
      <c r="T6" s="143">
        <f>3+2+3+2+3+2</f>
        <v>15</v>
      </c>
      <c r="U6" s="13">
        <f t="shared" si="4"/>
        <v>3</v>
      </c>
      <c r="V6" s="62">
        <v>10</v>
      </c>
      <c r="W6" s="143">
        <v>3</v>
      </c>
      <c r="X6" s="13">
        <f t="shared" si="5"/>
        <v>10</v>
      </c>
      <c r="Y6" s="62">
        <v>10</v>
      </c>
      <c r="Z6" s="143">
        <f>5+3+2</f>
        <v>10</v>
      </c>
      <c r="AA6" s="13">
        <f t="shared" ref="AA6:AA68" si="27">X6+Y6-Z6</f>
        <v>10</v>
      </c>
      <c r="AB6" s="62"/>
      <c r="AC6" s="143"/>
      <c r="AD6" s="13">
        <f t="shared" ref="AD6:AD68" si="28">AA6+AB6-AC6</f>
        <v>10</v>
      </c>
      <c r="AE6" s="62"/>
      <c r="AF6" s="143">
        <f>3+1</f>
        <v>4</v>
      </c>
      <c r="AG6" s="13">
        <f t="shared" ref="AG6:AG68" si="29">AD6+AE6-AF6</f>
        <v>6</v>
      </c>
      <c r="AH6" s="62"/>
      <c r="AI6" s="143">
        <v>2</v>
      </c>
      <c r="AJ6" s="13">
        <f t="shared" ref="AJ6:AJ68" si="30">AG6+AH6-AI6</f>
        <v>4</v>
      </c>
      <c r="AK6" s="62">
        <v>10</v>
      </c>
      <c r="AL6" s="143">
        <f>3+3</f>
        <v>6</v>
      </c>
      <c r="AM6" s="13">
        <f t="shared" si="6"/>
        <v>8</v>
      </c>
      <c r="AN6" s="62"/>
      <c r="AO6" s="143"/>
      <c r="AP6" s="13">
        <f t="shared" si="7"/>
        <v>8</v>
      </c>
      <c r="AQ6" s="62"/>
      <c r="AR6" s="143"/>
      <c r="AS6" s="13">
        <f t="shared" si="8"/>
        <v>8</v>
      </c>
      <c r="AT6" s="62"/>
      <c r="AU6" s="143">
        <f>3</f>
        <v>3</v>
      </c>
      <c r="AV6" s="13">
        <f t="shared" si="9"/>
        <v>5</v>
      </c>
      <c r="AW6" s="62"/>
      <c r="AX6" s="143"/>
      <c r="AY6" s="13">
        <f t="shared" si="10"/>
        <v>5</v>
      </c>
      <c r="AZ6" s="62"/>
      <c r="BA6" s="143">
        <f>2</f>
        <v>2</v>
      </c>
      <c r="BB6" s="13">
        <f t="shared" si="11"/>
        <v>3</v>
      </c>
      <c r="BC6" s="62">
        <v>10</v>
      </c>
      <c r="BD6" s="143"/>
      <c r="BE6" s="13">
        <f t="shared" si="12"/>
        <v>13</v>
      </c>
      <c r="BF6" s="62"/>
      <c r="BG6" s="143">
        <f>4+3</f>
        <v>7</v>
      </c>
      <c r="BH6" s="13">
        <f t="shared" si="13"/>
        <v>6</v>
      </c>
      <c r="BI6" s="184"/>
      <c r="BJ6" s="143"/>
      <c r="BK6" s="13">
        <f t="shared" si="14"/>
        <v>6</v>
      </c>
      <c r="BL6" s="62">
        <v>10</v>
      </c>
      <c r="BM6" s="143">
        <f>3+3</f>
        <v>6</v>
      </c>
      <c r="BN6" s="13">
        <f t="shared" si="15"/>
        <v>10</v>
      </c>
      <c r="BO6" s="62">
        <v>10</v>
      </c>
      <c r="BP6" s="143">
        <f>2+4+3+2+2</f>
        <v>13</v>
      </c>
      <c r="BQ6" s="13">
        <f t="shared" si="16"/>
        <v>7</v>
      </c>
      <c r="BR6" s="62"/>
      <c r="BS6" s="143"/>
      <c r="BT6" s="13">
        <f t="shared" si="17"/>
        <v>7</v>
      </c>
      <c r="BU6" s="62"/>
      <c r="BV6" s="143">
        <f>1+1</f>
        <v>2</v>
      </c>
      <c r="BW6" s="13">
        <f t="shared" si="18"/>
        <v>5</v>
      </c>
      <c r="BX6" s="62"/>
      <c r="BY6" s="143"/>
      <c r="BZ6" s="13">
        <f t="shared" si="19"/>
        <v>5</v>
      </c>
      <c r="CA6" s="62">
        <v>10</v>
      </c>
      <c r="CB6" s="143">
        <f>5</f>
        <v>5</v>
      </c>
      <c r="CC6" s="13">
        <f t="shared" si="20"/>
        <v>10</v>
      </c>
      <c r="CD6" s="62"/>
      <c r="CE6" s="143"/>
      <c r="CF6" s="13">
        <f t="shared" si="21"/>
        <v>10</v>
      </c>
      <c r="CG6" s="62"/>
      <c r="CH6" s="143"/>
      <c r="CI6" s="13">
        <f t="shared" ref="CI6:CI69" si="31">CF6+CG6-CH6</f>
        <v>10</v>
      </c>
      <c r="CJ6" s="62">
        <v>10</v>
      </c>
      <c r="CK6" s="143">
        <f>2+3+3+3</f>
        <v>11</v>
      </c>
      <c r="CL6" s="13">
        <f t="shared" ref="CL6:CL69" si="32">CI6+CJ6-CK6</f>
        <v>9</v>
      </c>
      <c r="CM6" s="62"/>
      <c r="CN6" s="143"/>
      <c r="CO6" s="13">
        <f t="shared" si="22"/>
        <v>9</v>
      </c>
      <c r="CP6" s="62"/>
      <c r="CQ6" s="143"/>
      <c r="CR6" s="13">
        <f t="shared" ref="CR6:CR69" si="33">CO6+CP6-CQ6</f>
        <v>9</v>
      </c>
      <c r="CS6" s="61"/>
      <c r="CT6" s="143"/>
      <c r="CU6" s="14">
        <f t="shared" si="23"/>
        <v>9</v>
      </c>
      <c r="CV6" s="5">
        <f t="shared" si="24"/>
        <v>90</v>
      </c>
      <c r="CW6" s="4">
        <f t="shared" si="24"/>
        <v>92</v>
      </c>
      <c r="CX6" s="6">
        <f t="shared" si="25"/>
        <v>9</v>
      </c>
      <c r="CY6" s="162">
        <v>210</v>
      </c>
      <c r="CZ6" s="171">
        <f t="shared" si="26"/>
        <v>1890</v>
      </c>
      <c r="DB6" s="2">
        <f t="shared" ref="DB6:DB69" si="34">CU6</f>
        <v>9</v>
      </c>
      <c r="DC6" s="61"/>
      <c r="DD6" s="143">
        <f>2+3</f>
        <v>5</v>
      </c>
      <c r="DE6" s="149">
        <f t="shared" ref="DE6:DE70" si="35">DC6+DB6-DD6</f>
        <v>4</v>
      </c>
    </row>
    <row r="7" spans="1:109" ht="15.75" customHeight="1">
      <c r="A7" s="33"/>
      <c r="B7" s="3" t="s">
        <v>237</v>
      </c>
      <c r="C7" s="138" t="s">
        <v>32</v>
      </c>
      <c r="D7" s="44"/>
      <c r="E7" s="44" t="s">
        <v>32</v>
      </c>
      <c r="F7" s="14">
        <v>0</v>
      </c>
      <c r="G7" s="62"/>
      <c r="H7" s="143"/>
      <c r="I7" s="13">
        <f t="shared" si="0"/>
        <v>0</v>
      </c>
      <c r="J7" s="62"/>
      <c r="K7" s="143"/>
      <c r="L7" s="13">
        <f t="shared" si="1"/>
        <v>0</v>
      </c>
      <c r="M7" s="61"/>
      <c r="N7" s="143"/>
      <c r="O7" s="13">
        <f t="shared" si="2"/>
        <v>0</v>
      </c>
      <c r="P7" s="62"/>
      <c r="Q7" s="143"/>
      <c r="R7" s="30">
        <f t="shared" si="3"/>
        <v>0</v>
      </c>
      <c r="S7" s="61"/>
      <c r="T7" s="143"/>
      <c r="U7" s="13">
        <f t="shared" si="4"/>
        <v>0</v>
      </c>
      <c r="V7" s="62"/>
      <c r="W7" s="143"/>
      <c r="X7" s="13">
        <f t="shared" si="5"/>
        <v>0</v>
      </c>
      <c r="Y7" s="62"/>
      <c r="Z7" s="143"/>
      <c r="AA7" s="13">
        <f t="shared" si="27"/>
        <v>0</v>
      </c>
      <c r="AB7" s="62"/>
      <c r="AC7" s="143"/>
      <c r="AD7" s="13">
        <f t="shared" si="28"/>
        <v>0</v>
      </c>
      <c r="AE7" s="62"/>
      <c r="AF7" s="143"/>
      <c r="AG7" s="13">
        <f t="shared" si="29"/>
        <v>0</v>
      </c>
      <c r="AH7" s="62"/>
      <c r="AI7" s="143"/>
      <c r="AJ7" s="13">
        <f t="shared" si="30"/>
        <v>0</v>
      </c>
      <c r="AK7" s="62"/>
      <c r="AL7" s="143"/>
      <c r="AM7" s="13">
        <f t="shared" si="6"/>
        <v>0</v>
      </c>
      <c r="AN7" s="62"/>
      <c r="AO7" s="143"/>
      <c r="AP7" s="13">
        <f t="shared" si="7"/>
        <v>0</v>
      </c>
      <c r="AQ7" s="62"/>
      <c r="AR7" s="143"/>
      <c r="AS7" s="13">
        <f t="shared" si="8"/>
        <v>0</v>
      </c>
      <c r="AT7" s="62"/>
      <c r="AU7" s="143"/>
      <c r="AV7" s="13">
        <f t="shared" si="9"/>
        <v>0</v>
      </c>
      <c r="AW7" s="62"/>
      <c r="AX7" s="143"/>
      <c r="AY7" s="13">
        <f t="shared" si="10"/>
        <v>0</v>
      </c>
      <c r="AZ7" s="62"/>
      <c r="BA7" s="143"/>
      <c r="BB7" s="13">
        <f t="shared" si="11"/>
        <v>0</v>
      </c>
      <c r="BC7" s="62"/>
      <c r="BD7" s="143"/>
      <c r="BE7" s="13">
        <f t="shared" si="12"/>
        <v>0</v>
      </c>
      <c r="BF7" s="62"/>
      <c r="BG7" s="143"/>
      <c r="BH7" s="13">
        <f t="shared" si="13"/>
        <v>0</v>
      </c>
      <c r="BI7" s="184"/>
      <c r="BJ7" s="143"/>
      <c r="BK7" s="13">
        <f t="shared" si="14"/>
        <v>0</v>
      </c>
      <c r="BL7" s="62"/>
      <c r="BM7" s="143"/>
      <c r="BN7" s="13">
        <f t="shared" si="15"/>
        <v>0</v>
      </c>
      <c r="BO7" s="62"/>
      <c r="BP7" s="143"/>
      <c r="BQ7" s="13">
        <f t="shared" si="16"/>
        <v>0</v>
      </c>
      <c r="BR7" s="62"/>
      <c r="BS7" s="143"/>
      <c r="BT7" s="13">
        <f t="shared" si="17"/>
        <v>0</v>
      </c>
      <c r="BU7" s="62"/>
      <c r="BV7" s="143"/>
      <c r="BW7" s="13">
        <f t="shared" si="18"/>
        <v>0</v>
      </c>
      <c r="BX7" s="62"/>
      <c r="BY7" s="143"/>
      <c r="BZ7" s="13">
        <f t="shared" si="19"/>
        <v>0</v>
      </c>
      <c r="CA7" s="62"/>
      <c r="CB7" s="143"/>
      <c r="CC7" s="13">
        <f t="shared" si="20"/>
        <v>0</v>
      </c>
      <c r="CD7" s="62"/>
      <c r="CE7" s="143"/>
      <c r="CF7" s="13">
        <f t="shared" si="21"/>
        <v>0</v>
      </c>
      <c r="CG7" s="62"/>
      <c r="CH7" s="143"/>
      <c r="CI7" s="13">
        <f t="shared" si="31"/>
        <v>0</v>
      </c>
      <c r="CJ7" s="62"/>
      <c r="CK7" s="143"/>
      <c r="CL7" s="13">
        <f t="shared" si="32"/>
        <v>0</v>
      </c>
      <c r="CM7" s="62"/>
      <c r="CN7" s="143"/>
      <c r="CO7" s="13">
        <f t="shared" si="22"/>
        <v>0</v>
      </c>
      <c r="CP7" s="62"/>
      <c r="CQ7" s="143"/>
      <c r="CR7" s="13">
        <f t="shared" si="33"/>
        <v>0</v>
      </c>
      <c r="CS7" s="61"/>
      <c r="CT7" s="143"/>
      <c r="CU7" s="14">
        <f t="shared" si="23"/>
        <v>0</v>
      </c>
      <c r="CV7" s="5">
        <f t="shared" si="24"/>
        <v>0</v>
      </c>
      <c r="CW7" s="4">
        <f t="shared" si="24"/>
        <v>0</v>
      </c>
      <c r="CX7" s="6">
        <f t="shared" si="25"/>
        <v>0</v>
      </c>
      <c r="CY7" s="162">
        <v>0</v>
      </c>
      <c r="CZ7" s="171">
        <f t="shared" si="26"/>
        <v>0</v>
      </c>
      <c r="DB7" s="2">
        <f t="shared" si="34"/>
        <v>0</v>
      </c>
      <c r="DC7" s="61"/>
      <c r="DD7" s="143"/>
      <c r="DE7" s="149">
        <f t="shared" si="35"/>
        <v>0</v>
      </c>
    </row>
    <row r="8" spans="1:109" ht="15.75" customHeight="1">
      <c r="A8" s="33" t="s">
        <v>28</v>
      </c>
      <c r="B8" s="7" t="s">
        <v>29</v>
      </c>
      <c r="C8" s="105" t="s">
        <v>30</v>
      </c>
      <c r="D8" s="35" t="s">
        <v>31</v>
      </c>
      <c r="E8" s="35" t="s">
        <v>26</v>
      </c>
      <c r="F8" s="14">
        <v>33</v>
      </c>
      <c r="G8" s="62"/>
      <c r="H8" s="143"/>
      <c r="I8" s="13">
        <f t="shared" si="0"/>
        <v>33</v>
      </c>
      <c r="J8" s="62"/>
      <c r="K8" s="143"/>
      <c r="L8" s="13">
        <f t="shared" si="1"/>
        <v>33</v>
      </c>
      <c r="M8" s="61">
        <v>20</v>
      </c>
      <c r="N8" s="143">
        <v>14</v>
      </c>
      <c r="O8" s="13">
        <f t="shared" si="2"/>
        <v>39</v>
      </c>
      <c r="P8" s="62"/>
      <c r="Q8" s="143">
        <v>12</v>
      </c>
      <c r="R8" s="13">
        <f t="shared" si="3"/>
        <v>27</v>
      </c>
      <c r="S8" s="61"/>
      <c r="T8" s="143"/>
      <c r="U8" s="13">
        <f t="shared" si="4"/>
        <v>27</v>
      </c>
      <c r="V8" s="62">
        <v>20</v>
      </c>
      <c r="W8" s="143">
        <v>10</v>
      </c>
      <c r="X8" s="13">
        <f t="shared" si="5"/>
        <v>37</v>
      </c>
      <c r="Y8" s="62"/>
      <c r="Z8" s="143">
        <v>5</v>
      </c>
      <c r="AA8" s="13">
        <f t="shared" si="27"/>
        <v>32</v>
      </c>
      <c r="AB8" s="62"/>
      <c r="AC8" s="143"/>
      <c r="AD8" s="13">
        <f t="shared" si="28"/>
        <v>32</v>
      </c>
      <c r="AE8" s="62"/>
      <c r="AF8" s="143">
        <v>4</v>
      </c>
      <c r="AG8" s="13">
        <f t="shared" si="29"/>
        <v>28</v>
      </c>
      <c r="AH8" s="62"/>
      <c r="AI8" s="143">
        <v>1</v>
      </c>
      <c r="AJ8" s="13">
        <f t="shared" si="30"/>
        <v>27</v>
      </c>
      <c r="AK8" s="62"/>
      <c r="AL8" s="143">
        <f>5+2</f>
        <v>7</v>
      </c>
      <c r="AM8" s="13">
        <f t="shared" si="6"/>
        <v>20</v>
      </c>
      <c r="AN8" s="62"/>
      <c r="AO8" s="143"/>
      <c r="AP8" s="13">
        <f t="shared" si="7"/>
        <v>20</v>
      </c>
      <c r="AQ8" s="62"/>
      <c r="AR8" s="143">
        <v>5</v>
      </c>
      <c r="AS8" s="13">
        <f t="shared" si="8"/>
        <v>15</v>
      </c>
      <c r="AT8" s="62">
        <v>20</v>
      </c>
      <c r="AU8" s="143">
        <v>10</v>
      </c>
      <c r="AV8" s="13">
        <f t="shared" si="9"/>
        <v>25</v>
      </c>
      <c r="AW8" s="62"/>
      <c r="AX8" s="143"/>
      <c r="AY8" s="13">
        <f t="shared" si="10"/>
        <v>25</v>
      </c>
      <c r="AZ8" s="62">
        <v>20</v>
      </c>
      <c r="BA8" s="143">
        <v>10</v>
      </c>
      <c r="BB8" s="13">
        <f t="shared" si="11"/>
        <v>35</v>
      </c>
      <c r="BC8" s="62"/>
      <c r="BD8" s="143">
        <v>2</v>
      </c>
      <c r="BE8" s="13">
        <f t="shared" si="12"/>
        <v>33</v>
      </c>
      <c r="BF8" s="62"/>
      <c r="BG8" s="143">
        <v>11</v>
      </c>
      <c r="BH8" s="13">
        <f t="shared" si="13"/>
        <v>22</v>
      </c>
      <c r="BI8" s="184"/>
      <c r="BJ8" s="143"/>
      <c r="BK8" s="13">
        <f t="shared" si="14"/>
        <v>22</v>
      </c>
      <c r="BL8" s="62">
        <v>20</v>
      </c>
      <c r="BM8" s="143">
        <v>9</v>
      </c>
      <c r="BN8" s="13">
        <f t="shared" si="15"/>
        <v>33</v>
      </c>
      <c r="BO8" s="62"/>
      <c r="BP8" s="143">
        <v>8</v>
      </c>
      <c r="BQ8" s="13">
        <f t="shared" si="16"/>
        <v>25</v>
      </c>
      <c r="BR8" s="62"/>
      <c r="BS8" s="143"/>
      <c r="BT8" s="13">
        <f t="shared" si="17"/>
        <v>25</v>
      </c>
      <c r="BU8" s="62">
        <v>20</v>
      </c>
      <c r="BV8" s="143">
        <v>6</v>
      </c>
      <c r="BW8" s="13">
        <f t="shared" si="18"/>
        <v>39</v>
      </c>
      <c r="BX8" s="62"/>
      <c r="BY8" s="143">
        <v>4</v>
      </c>
      <c r="BZ8" s="13">
        <f t="shared" si="19"/>
        <v>35</v>
      </c>
      <c r="CA8" s="64">
        <v>-1</v>
      </c>
      <c r="CB8" s="143">
        <v>9</v>
      </c>
      <c r="CC8" s="13">
        <f t="shared" si="20"/>
        <v>25</v>
      </c>
      <c r="CD8" s="62"/>
      <c r="CE8" s="143"/>
      <c r="CF8" s="13">
        <f t="shared" si="21"/>
        <v>25</v>
      </c>
      <c r="CG8" s="62"/>
      <c r="CH8" s="143">
        <v>6</v>
      </c>
      <c r="CI8" s="13">
        <f t="shared" si="31"/>
        <v>19</v>
      </c>
      <c r="CJ8" s="62">
        <v>20</v>
      </c>
      <c r="CK8" s="143">
        <v>8</v>
      </c>
      <c r="CL8" s="13">
        <f t="shared" si="32"/>
        <v>31</v>
      </c>
      <c r="CM8" s="62"/>
      <c r="CN8" s="143"/>
      <c r="CO8" s="13">
        <f t="shared" si="22"/>
        <v>31</v>
      </c>
      <c r="CP8" s="62"/>
      <c r="CQ8" s="143">
        <v>8</v>
      </c>
      <c r="CR8" s="13">
        <f t="shared" si="33"/>
        <v>23</v>
      </c>
      <c r="CS8" s="61"/>
      <c r="CT8" s="143">
        <v>2</v>
      </c>
      <c r="CU8" s="14">
        <f t="shared" si="23"/>
        <v>21</v>
      </c>
      <c r="CV8" s="5">
        <f t="shared" si="24"/>
        <v>139</v>
      </c>
      <c r="CW8" s="4">
        <f t="shared" si="24"/>
        <v>151</v>
      </c>
      <c r="CX8" s="6">
        <f t="shared" si="25"/>
        <v>21</v>
      </c>
      <c r="CY8" s="162">
        <v>125</v>
      </c>
      <c r="CZ8" s="171">
        <f t="shared" si="26"/>
        <v>2625</v>
      </c>
      <c r="DB8" s="2">
        <f t="shared" si="34"/>
        <v>21</v>
      </c>
      <c r="DC8" s="61"/>
      <c r="DD8" s="143"/>
      <c r="DE8" s="149">
        <f t="shared" si="35"/>
        <v>21</v>
      </c>
    </row>
    <row r="9" spans="1:109" ht="15.75" customHeight="1">
      <c r="A9" s="33"/>
      <c r="B9" s="137" t="s">
        <v>217</v>
      </c>
      <c r="C9" s="138" t="s">
        <v>32</v>
      </c>
      <c r="D9" s="44"/>
      <c r="E9" s="44" t="s">
        <v>32</v>
      </c>
      <c r="F9" s="14">
        <v>0</v>
      </c>
      <c r="G9" s="62"/>
      <c r="H9" s="143"/>
      <c r="I9" s="13">
        <f t="shared" si="0"/>
        <v>0</v>
      </c>
      <c r="J9" s="62"/>
      <c r="K9" s="143"/>
      <c r="L9" s="13">
        <f t="shared" si="1"/>
        <v>0</v>
      </c>
      <c r="M9" s="61"/>
      <c r="N9" s="143"/>
      <c r="O9" s="13">
        <f t="shared" si="2"/>
        <v>0</v>
      </c>
      <c r="P9" s="62"/>
      <c r="Q9" s="143"/>
      <c r="R9" s="30">
        <f t="shared" si="3"/>
        <v>0</v>
      </c>
      <c r="S9" s="61"/>
      <c r="T9" s="143"/>
      <c r="U9" s="13">
        <f t="shared" si="4"/>
        <v>0</v>
      </c>
      <c r="V9" s="62"/>
      <c r="W9" s="143"/>
      <c r="X9" s="13">
        <f t="shared" si="5"/>
        <v>0</v>
      </c>
      <c r="Y9" s="62"/>
      <c r="Z9" s="143"/>
      <c r="AA9" s="13">
        <f t="shared" si="27"/>
        <v>0</v>
      </c>
      <c r="AB9" s="62"/>
      <c r="AC9" s="143"/>
      <c r="AD9" s="13">
        <f t="shared" si="28"/>
        <v>0</v>
      </c>
      <c r="AE9" s="62"/>
      <c r="AF9" s="143"/>
      <c r="AG9" s="13">
        <f t="shared" si="29"/>
        <v>0</v>
      </c>
      <c r="AH9" s="62"/>
      <c r="AI9" s="143"/>
      <c r="AJ9" s="13">
        <f t="shared" si="30"/>
        <v>0</v>
      </c>
      <c r="AK9" s="62"/>
      <c r="AL9" s="143"/>
      <c r="AM9" s="13">
        <f t="shared" si="6"/>
        <v>0</v>
      </c>
      <c r="AN9" s="62"/>
      <c r="AO9" s="143"/>
      <c r="AP9" s="13">
        <f t="shared" si="7"/>
        <v>0</v>
      </c>
      <c r="AQ9" s="62"/>
      <c r="AR9" s="143"/>
      <c r="AS9" s="13">
        <f t="shared" si="8"/>
        <v>0</v>
      </c>
      <c r="AT9" s="62"/>
      <c r="AU9" s="143"/>
      <c r="AV9" s="13">
        <f t="shared" si="9"/>
        <v>0</v>
      </c>
      <c r="AW9" s="62"/>
      <c r="AX9" s="143"/>
      <c r="AY9" s="13">
        <f t="shared" si="10"/>
        <v>0</v>
      </c>
      <c r="AZ9" s="62"/>
      <c r="BA9" s="143"/>
      <c r="BB9" s="13">
        <f t="shared" si="11"/>
        <v>0</v>
      </c>
      <c r="BC9" s="62"/>
      <c r="BD9" s="143"/>
      <c r="BE9" s="13">
        <f t="shared" si="12"/>
        <v>0</v>
      </c>
      <c r="BF9" s="62"/>
      <c r="BG9" s="143"/>
      <c r="BH9" s="13">
        <f t="shared" si="13"/>
        <v>0</v>
      </c>
      <c r="BI9" s="184"/>
      <c r="BJ9" s="143"/>
      <c r="BK9" s="13">
        <f t="shared" si="14"/>
        <v>0</v>
      </c>
      <c r="BL9" s="62"/>
      <c r="BM9" s="143"/>
      <c r="BN9" s="13">
        <f t="shared" si="15"/>
        <v>0</v>
      </c>
      <c r="BO9" s="62"/>
      <c r="BP9" s="143"/>
      <c r="BQ9" s="13">
        <f t="shared" si="16"/>
        <v>0</v>
      </c>
      <c r="BR9" s="62"/>
      <c r="BS9" s="143"/>
      <c r="BT9" s="13">
        <f t="shared" si="17"/>
        <v>0</v>
      </c>
      <c r="BU9" s="62"/>
      <c r="BV9" s="143"/>
      <c r="BW9" s="13">
        <f t="shared" si="18"/>
        <v>0</v>
      </c>
      <c r="BX9" s="62"/>
      <c r="BY9" s="143"/>
      <c r="BZ9" s="13">
        <f t="shared" si="19"/>
        <v>0</v>
      </c>
      <c r="CA9" s="62"/>
      <c r="CB9" s="143"/>
      <c r="CC9" s="13">
        <f t="shared" si="20"/>
        <v>0</v>
      </c>
      <c r="CD9" s="62"/>
      <c r="CE9" s="143"/>
      <c r="CF9" s="13">
        <f t="shared" si="21"/>
        <v>0</v>
      </c>
      <c r="CG9" s="62"/>
      <c r="CH9" s="143"/>
      <c r="CI9" s="13">
        <f t="shared" si="31"/>
        <v>0</v>
      </c>
      <c r="CJ9" s="62"/>
      <c r="CK9" s="143"/>
      <c r="CL9" s="13">
        <f t="shared" si="32"/>
        <v>0</v>
      </c>
      <c r="CM9" s="62"/>
      <c r="CN9" s="143"/>
      <c r="CO9" s="13">
        <f t="shared" si="22"/>
        <v>0</v>
      </c>
      <c r="CP9" s="62"/>
      <c r="CQ9" s="143"/>
      <c r="CR9" s="13">
        <f t="shared" si="33"/>
        <v>0</v>
      </c>
      <c r="CS9" s="62"/>
      <c r="CT9" s="143"/>
      <c r="CU9" s="14">
        <f t="shared" si="23"/>
        <v>0</v>
      </c>
      <c r="CV9" s="5">
        <f t="shared" si="24"/>
        <v>0</v>
      </c>
      <c r="CW9" s="4">
        <f t="shared" si="24"/>
        <v>0</v>
      </c>
      <c r="CX9" s="6">
        <f t="shared" si="25"/>
        <v>0</v>
      </c>
      <c r="CY9" s="162">
        <v>0</v>
      </c>
      <c r="CZ9" s="171">
        <f t="shared" si="26"/>
        <v>0</v>
      </c>
      <c r="DB9" s="2">
        <f t="shared" si="34"/>
        <v>0</v>
      </c>
      <c r="DC9" s="62"/>
      <c r="DD9" s="143"/>
      <c r="DE9" s="149">
        <f t="shared" si="35"/>
        <v>0</v>
      </c>
    </row>
    <row r="10" spans="1:109" ht="15.75" customHeight="1">
      <c r="A10" s="33"/>
      <c r="B10" s="137" t="s">
        <v>34</v>
      </c>
      <c r="C10" s="138" t="s">
        <v>27</v>
      </c>
      <c r="D10" s="44"/>
      <c r="E10" s="44" t="s">
        <v>27</v>
      </c>
      <c r="F10" s="14">
        <v>0</v>
      </c>
      <c r="G10" s="62"/>
      <c r="H10" s="143"/>
      <c r="I10" s="13">
        <f t="shared" si="0"/>
        <v>0</v>
      </c>
      <c r="J10" s="62"/>
      <c r="K10" s="143"/>
      <c r="L10" s="13">
        <f t="shared" si="1"/>
        <v>0</v>
      </c>
      <c r="M10" s="61"/>
      <c r="N10" s="143"/>
      <c r="O10" s="13">
        <f t="shared" si="2"/>
        <v>0</v>
      </c>
      <c r="P10" s="62"/>
      <c r="Q10" s="143"/>
      <c r="R10" s="30">
        <f t="shared" si="3"/>
        <v>0</v>
      </c>
      <c r="S10" s="61"/>
      <c r="T10" s="143"/>
      <c r="U10" s="13">
        <f t="shared" si="4"/>
        <v>0</v>
      </c>
      <c r="V10" s="62"/>
      <c r="W10" s="143"/>
      <c r="X10" s="13">
        <f t="shared" si="5"/>
        <v>0</v>
      </c>
      <c r="Y10" s="62"/>
      <c r="Z10" s="143"/>
      <c r="AA10" s="13">
        <f t="shared" si="27"/>
        <v>0</v>
      </c>
      <c r="AB10" s="62"/>
      <c r="AC10" s="143"/>
      <c r="AD10" s="13">
        <f t="shared" si="28"/>
        <v>0</v>
      </c>
      <c r="AE10" s="62"/>
      <c r="AF10" s="143"/>
      <c r="AG10" s="13">
        <f t="shared" si="29"/>
        <v>0</v>
      </c>
      <c r="AH10" s="62"/>
      <c r="AI10" s="143"/>
      <c r="AJ10" s="13">
        <f t="shared" si="30"/>
        <v>0</v>
      </c>
      <c r="AK10" s="62"/>
      <c r="AL10" s="143"/>
      <c r="AM10" s="13">
        <f t="shared" si="6"/>
        <v>0</v>
      </c>
      <c r="AN10" s="62"/>
      <c r="AO10" s="143"/>
      <c r="AP10" s="13">
        <f t="shared" si="7"/>
        <v>0</v>
      </c>
      <c r="AQ10" s="62"/>
      <c r="AR10" s="143"/>
      <c r="AS10" s="13">
        <f t="shared" si="8"/>
        <v>0</v>
      </c>
      <c r="AT10" s="62"/>
      <c r="AU10" s="143"/>
      <c r="AV10" s="13">
        <f t="shared" si="9"/>
        <v>0</v>
      </c>
      <c r="AW10" s="62"/>
      <c r="AX10" s="143"/>
      <c r="AY10" s="13">
        <f t="shared" si="10"/>
        <v>0</v>
      </c>
      <c r="AZ10" s="62"/>
      <c r="BA10" s="143"/>
      <c r="BB10" s="13">
        <f t="shared" si="11"/>
        <v>0</v>
      </c>
      <c r="BC10" s="62"/>
      <c r="BD10" s="143"/>
      <c r="BE10" s="13">
        <f t="shared" si="12"/>
        <v>0</v>
      </c>
      <c r="BF10" s="62"/>
      <c r="BG10" s="143"/>
      <c r="BH10" s="13">
        <f t="shared" si="13"/>
        <v>0</v>
      </c>
      <c r="BI10" s="184"/>
      <c r="BJ10" s="143"/>
      <c r="BK10" s="13">
        <f t="shared" si="14"/>
        <v>0</v>
      </c>
      <c r="BL10" s="62"/>
      <c r="BM10" s="143"/>
      <c r="BN10" s="13">
        <f t="shared" si="15"/>
        <v>0</v>
      </c>
      <c r="BO10" s="62"/>
      <c r="BP10" s="143"/>
      <c r="BQ10" s="13">
        <f t="shared" si="16"/>
        <v>0</v>
      </c>
      <c r="BR10" s="62"/>
      <c r="BS10" s="143"/>
      <c r="BT10" s="13">
        <f t="shared" si="17"/>
        <v>0</v>
      </c>
      <c r="BU10" s="62"/>
      <c r="BV10" s="143"/>
      <c r="BW10" s="13">
        <f t="shared" si="18"/>
        <v>0</v>
      </c>
      <c r="BX10" s="62"/>
      <c r="BY10" s="143"/>
      <c r="BZ10" s="13">
        <f t="shared" si="19"/>
        <v>0</v>
      </c>
      <c r="CA10" s="62"/>
      <c r="CB10" s="143"/>
      <c r="CC10" s="13">
        <f t="shared" si="20"/>
        <v>0</v>
      </c>
      <c r="CD10" s="62"/>
      <c r="CE10" s="143"/>
      <c r="CF10" s="13">
        <f t="shared" si="21"/>
        <v>0</v>
      </c>
      <c r="CG10" s="62"/>
      <c r="CH10" s="143"/>
      <c r="CI10" s="13">
        <f t="shared" si="31"/>
        <v>0</v>
      </c>
      <c r="CJ10" s="62"/>
      <c r="CK10" s="143"/>
      <c r="CL10" s="13">
        <f t="shared" si="32"/>
        <v>0</v>
      </c>
      <c r="CM10" s="62"/>
      <c r="CN10" s="143"/>
      <c r="CO10" s="13">
        <f t="shared" si="22"/>
        <v>0</v>
      </c>
      <c r="CP10" s="62"/>
      <c r="CQ10" s="143"/>
      <c r="CR10" s="13">
        <f t="shared" si="33"/>
        <v>0</v>
      </c>
      <c r="CS10" s="61"/>
      <c r="CT10" s="143"/>
      <c r="CU10" s="14">
        <f t="shared" si="23"/>
        <v>0</v>
      </c>
      <c r="CV10" s="5">
        <f t="shared" si="24"/>
        <v>0</v>
      </c>
      <c r="CW10" s="4">
        <f t="shared" si="24"/>
        <v>0</v>
      </c>
      <c r="CX10" s="6">
        <f t="shared" si="25"/>
        <v>0</v>
      </c>
      <c r="CY10" s="162">
        <v>0</v>
      </c>
      <c r="CZ10" s="171">
        <f t="shared" si="26"/>
        <v>0</v>
      </c>
      <c r="DB10" s="2">
        <f t="shared" si="34"/>
        <v>0</v>
      </c>
      <c r="DC10" s="61"/>
      <c r="DD10" s="143"/>
      <c r="DE10" s="149">
        <f t="shared" si="35"/>
        <v>0</v>
      </c>
    </row>
    <row r="11" spans="1:109" ht="15.75" customHeight="1">
      <c r="A11" s="33"/>
      <c r="B11" s="7" t="s">
        <v>239</v>
      </c>
      <c r="C11" s="105" t="s">
        <v>30</v>
      </c>
      <c r="D11" s="35"/>
      <c r="E11" s="35" t="s">
        <v>27</v>
      </c>
      <c r="F11" s="14">
        <v>0</v>
      </c>
      <c r="G11" s="175"/>
      <c r="H11" s="143"/>
      <c r="I11" s="71">
        <f t="shared" si="0"/>
        <v>0</v>
      </c>
      <c r="J11" s="175"/>
      <c r="K11" s="143"/>
      <c r="L11" s="13">
        <f t="shared" si="1"/>
        <v>0</v>
      </c>
      <c r="M11" s="66"/>
      <c r="N11" s="143"/>
      <c r="O11" s="13">
        <f t="shared" si="2"/>
        <v>0</v>
      </c>
      <c r="P11" s="175"/>
      <c r="Q11" s="143"/>
      <c r="R11" s="30">
        <f t="shared" si="3"/>
        <v>0</v>
      </c>
      <c r="S11" s="66"/>
      <c r="T11" s="143"/>
      <c r="U11" s="13">
        <f t="shared" si="4"/>
        <v>0</v>
      </c>
      <c r="V11" s="175"/>
      <c r="W11" s="143"/>
      <c r="X11" s="13">
        <f t="shared" si="5"/>
        <v>0</v>
      </c>
      <c r="Y11" s="175"/>
      <c r="Z11" s="143"/>
      <c r="AA11" s="13">
        <f t="shared" si="27"/>
        <v>0</v>
      </c>
      <c r="AB11" s="175"/>
      <c r="AC11" s="143"/>
      <c r="AD11" s="13">
        <f t="shared" si="28"/>
        <v>0</v>
      </c>
      <c r="AE11" s="175"/>
      <c r="AF11" s="143"/>
      <c r="AG11" s="13">
        <f t="shared" si="29"/>
        <v>0</v>
      </c>
      <c r="AH11" s="175"/>
      <c r="AI11" s="143"/>
      <c r="AJ11" s="13">
        <f t="shared" si="30"/>
        <v>0</v>
      </c>
      <c r="AK11" s="175"/>
      <c r="AL11" s="143"/>
      <c r="AM11" s="13">
        <f t="shared" si="6"/>
        <v>0</v>
      </c>
      <c r="AN11" s="175"/>
      <c r="AO11" s="143"/>
      <c r="AP11" s="13">
        <f t="shared" si="7"/>
        <v>0</v>
      </c>
      <c r="AQ11" s="175"/>
      <c r="AR11" s="143"/>
      <c r="AS11" s="13">
        <f t="shared" si="8"/>
        <v>0</v>
      </c>
      <c r="AT11" s="175"/>
      <c r="AU11" s="143"/>
      <c r="AV11" s="13">
        <f t="shared" si="9"/>
        <v>0</v>
      </c>
      <c r="AW11" s="175"/>
      <c r="AX11" s="143"/>
      <c r="AY11" s="13">
        <f t="shared" si="10"/>
        <v>0</v>
      </c>
      <c r="AZ11" s="175"/>
      <c r="BA11" s="143"/>
      <c r="BB11" s="13">
        <f t="shared" si="11"/>
        <v>0</v>
      </c>
      <c r="BC11" s="175"/>
      <c r="BD11" s="143"/>
      <c r="BE11" s="13">
        <f t="shared" si="12"/>
        <v>0</v>
      </c>
      <c r="BF11" s="175"/>
      <c r="BG11" s="143"/>
      <c r="BH11" s="13">
        <f t="shared" si="13"/>
        <v>0</v>
      </c>
      <c r="BI11" s="185"/>
      <c r="BJ11" s="143"/>
      <c r="BK11" s="13">
        <f t="shared" si="14"/>
        <v>0</v>
      </c>
      <c r="BL11" s="175"/>
      <c r="BM11" s="143"/>
      <c r="BN11" s="13">
        <f t="shared" si="15"/>
        <v>0</v>
      </c>
      <c r="BO11" s="175"/>
      <c r="BP11" s="143"/>
      <c r="BQ11" s="13">
        <f t="shared" si="16"/>
        <v>0</v>
      </c>
      <c r="BR11" s="175"/>
      <c r="BS11" s="143"/>
      <c r="BT11" s="13">
        <f t="shared" si="17"/>
        <v>0</v>
      </c>
      <c r="BU11" s="175"/>
      <c r="BV11" s="143"/>
      <c r="BW11" s="13">
        <f t="shared" si="18"/>
        <v>0</v>
      </c>
      <c r="BX11" s="175"/>
      <c r="BY11" s="143"/>
      <c r="BZ11" s="13">
        <f t="shared" si="19"/>
        <v>0</v>
      </c>
      <c r="CA11" s="175"/>
      <c r="CB11" s="143"/>
      <c r="CC11" s="13">
        <f t="shared" si="20"/>
        <v>0</v>
      </c>
      <c r="CD11" s="175"/>
      <c r="CE11" s="143"/>
      <c r="CF11" s="13">
        <f t="shared" si="21"/>
        <v>0</v>
      </c>
      <c r="CG11" s="175"/>
      <c r="CH11" s="143"/>
      <c r="CI11" s="13">
        <f t="shared" si="31"/>
        <v>0</v>
      </c>
      <c r="CJ11" s="175"/>
      <c r="CK11" s="143"/>
      <c r="CL11" s="13">
        <f t="shared" si="32"/>
        <v>0</v>
      </c>
      <c r="CM11" s="175"/>
      <c r="CN11" s="143"/>
      <c r="CO11" s="13">
        <f t="shared" si="22"/>
        <v>0</v>
      </c>
      <c r="CP11" s="175"/>
      <c r="CQ11" s="143"/>
      <c r="CR11" s="13">
        <f t="shared" si="33"/>
        <v>0</v>
      </c>
      <c r="CS11" s="66"/>
      <c r="CT11" s="143"/>
      <c r="CU11" s="14">
        <f t="shared" si="23"/>
        <v>0</v>
      </c>
      <c r="CV11" s="5">
        <f t="shared" si="24"/>
        <v>0</v>
      </c>
      <c r="CW11" s="4">
        <f t="shared" si="24"/>
        <v>0</v>
      </c>
      <c r="CX11" s="6">
        <f t="shared" si="25"/>
        <v>0</v>
      </c>
      <c r="CY11" s="162">
        <v>0</v>
      </c>
      <c r="CZ11" s="171">
        <f t="shared" si="26"/>
        <v>0</v>
      </c>
      <c r="DB11" s="2">
        <f t="shared" si="34"/>
        <v>0</v>
      </c>
      <c r="DC11" s="66"/>
      <c r="DD11" s="143"/>
      <c r="DE11" s="149">
        <f t="shared" si="35"/>
        <v>0</v>
      </c>
    </row>
    <row r="12" spans="1:109" ht="15.75" customHeight="1">
      <c r="A12" s="33"/>
      <c r="B12" s="50" t="s">
        <v>35</v>
      </c>
      <c r="C12" s="107" t="s">
        <v>27</v>
      </c>
      <c r="D12" s="51" t="s">
        <v>36</v>
      </c>
      <c r="E12" s="51" t="s">
        <v>27</v>
      </c>
      <c r="F12" s="14">
        <v>60</v>
      </c>
      <c r="G12" s="62"/>
      <c r="H12" s="143"/>
      <c r="I12" s="13">
        <f t="shared" si="0"/>
        <v>60</v>
      </c>
      <c r="J12" s="62"/>
      <c r="K12" s="143"/>
      <c r="L12" s="13">
        <f t="shared" si="1"/>
        <v>60</v>
      </c>
      <c r="M12" s="61">
        <f>14+3</f>
        <v>17</v>
      </c>
      <c r="N12" s="143">
        <f>59+1+3</f>
        <v>63</v>
      </c>
      <c r="O12" s="13">
        <f t="shared" si="2"/>
        <v>14</v>
      </c>
      <c r="P12" s="64">
        <v>42</v>
      </c>
      <c r="Q12" s="143">
        <f>6+8+8+6+18+10</f>
        <v>56</v>
      </c>
      <c r="R12" s="13">
        <f t="shared" si="3"/>
        <v>0</v>
      </c>
      <c r="S12" s="61">
        <f>40+40</f>
        <v>80</v>
      </c>
      <c r="T12" s="143"/>
      <c r="U12" s="13">
        <f t="shared" si="4"/>
        <v>80</v>
      </c>
      <c r="V12" s="62">
        <v>60</v>
      </c>
      <c r="W12" s="143">
        <f>4+23</f>
        <v>27</v>
      </c>
      <c r="X12" s="13">
        <f t="shared" si="5"/>
        <v>113</v>
      </c>
      <c r="Y12" s="62">
        <v>40</v>
      </c>
      <c r="Z12" s="143">
        <f>6+43</f>
        <v>49</v>
      </c>
      <c r="AA12" s="13">
        <f t="shared" si="27"/>
        <v>104</v>
      </c>
      <c r="AB12" s="62"/>
      <c r="AC12" s="143"/>
      <c r="AD12" s="13">
        <f t="shared" si="28"/>
        <v>104</v>
      </c>
      <c r="AE12" s="62">
        <v>40</v>
      </c>
      <c r="AF12" s="143">
        <f>5+22</f>
        <v>27</v>
      </c>
      <c r="AG12" s="13">
        <f t="shared" si="29"/>
        <v>117</v>
      </c>
      <c r="AH12" s="62">
        <v>60</v>
      </c>
      <c r="AI12" s="143">
        <v>33</v>
      </c>
      <c r="AJ12" s="13">
        <f t="shared" si="30"/>
        <v>144</v>
      </c>
      <c r="AK12" s="62">
        <v>80</v>
      </c>
      <c r="AL12" s="143">
        <f>6+53</f>
        <v>59</v>
      </c>
      <c r="AM12" s="13">
        <f t="shared" si="6"/>
        <v>165</v>
      </c>
      <c r="AN12" s="62"/>
      <c r="AO12" s="143"/>
      <c r="AP12" s="13">
        <f t="shared" si="7"/>
        <v>165</v>
      </c>
      <c r="AQ12" s="62"/>
      <c r="AR12" s="143">
        <f>3+33</f>
        <v>36</v>
      </c>
      <c r="AS12" s="13">
        <f t="shared" si="8"/>
        <v>129</v>
      </c>
      <c r="AT12" s="62"/>
      <c r="AU12" s="143">
        <f>3+34</f>
        <v>37</v>
      </c>
      <c r="AV12" s="13">
        <f t="shared" si="9"/>
        <v>92</v>
      </c>
      <c r="AW12" s="62"/>
      <c r="AX12" s="143"/>
      <c r="AY12" s="13">
        <f t="shared" si="10"/>
        <v>92</v>
      </c>
      <c r="AZ12" s="62">
        <v>20</v>
      </c>
      <c r="BA12" s="143">
        <f>6+21</f>
        <v>27</v>
      </c>
      <c r="BB12" s="13">
        <f t="shared" si="11"/>
        <v>85</v>
      </c>
      <c r="BC12" s="62">
        <v>20</v>
      </c>
      <c r="BD12" s="143">
        <f>4+39</f>
        <v>43</v>
      </c>
      <c r="BE12" s="13">
        <f t="shared" si="12"/>
        <v>62</v>
      </c>
      <c r="BF12" s="62">
        <v>20</v>
      </c>
      <c r="BG12" s="143">
        <f>3+48</f>
        <v>51</v>
      </c>
      <c r="BH12" s="13">
        <f t="shared" si="13"/>
        <v>31</v>
      </c>
      <c r="BI12" s="184"/>
      <c r="BJ12" s="143"/>
      <c r="BK12" s="13">
        <f t="shared" si="14"/>
        <v>31</v>
      </c>
      <c r="BL12" s="62">
        <v>40</v>
      </c>
      <c r="BM12" s="143">
        <f>4+21</f>
        <v>25</v>
      </c>
      <c r="BN12" s="13">
        <f t="shared" si="15"/>
        <v>46</v>
      </c>
      <c r="BO12" s="62">
        <v>40</v>
      </c>
      <c r="BP12" s="143">
        <f>6+23</f>
        <v>29</v>
      </c>
      <c r="BQ12" s="13">
        <f t="shared" si="16"/>
        <v>57</v>
      </c>
      <c r="BR12" s="62"/>
      <c r="BS12" s="143"/>
      <c r="BT12" s="13">
        <f t="shared" si="17"/>
        <v>57</v>
      </c>
      <c r="BU12" s="62">
        <v>40</v>
      </c>
      <c r="BV12" s="143">
        <f>3+30</f>
        <v>33</v>
      </c>
      <c r="BW12" s="13">
        <f t="shared" si="18"/>
        <v>64</v>
      </c>
      <c r="BX12" s="62">
        <v>40</v>
      </c>
      <c r="BY12" s="143">
        <v>24</v>
      </c>
      <c r="BZ12" s="13">
        <f t="shared" si="19"/>
        <v>80</v>
      </c>
      <c r="CA12" s="62">
        <f>-8+40</f>
        <v>32</v>
      </c>
      <c r="CB12" s="143">
        <f>8+72</f>
        <v>80</v>
      </c>
      <c r="CC12" s="13">
        <f t="shared" si="20"/>
        <v>32</v>
      </c>
      <c r="CD12" s="62"/>
      <c r="CE12" s="143"/>
      <c r="CF12" s="13">
        <f t="shared" si="21"/>
        <v>32</v>
      </c>
      <c r="CG12" s="62">
        <v>60</v>
      </c>
      <c r="CH12" s="143">
        <f>3+23</f>
        <v>26</v>
      </c>
      <c r="CI12" s="13">
        <f t="shared" si="31"/>
        <v>66</v>
      </c>
      <c r="CJ12" s="62">
        <v>40</v>
      </c>
      <c r="CK12" s="143">
        <v>43</v>
      </c>
      <c r="CL12" s="13">
        <f t="shared" si="32"/>
        <v>63</v>
      </c>
      <c r="CM12" s="62"/>
      <c r="CN12" s="143"/>
      <c r="CO12" s="13">
        <f t="shared" si="22"/>
        <v>63</v>
      </c>
      <c r="CP12" s="62">
        <v>40</v>
      </c>
      <c r="CQ12" s="143">
        <f>3+21</f>
        <v>24</v>
      </c>
      <c r="CR12" s="13">
        <f t="shared" si="33"/>
        <v>79</v>
      </c>
      <c r="CS12" s="61">
        <v>20</v>
      </c>
      <c r="CT12" s="143">
        <f>6+25</f>
        <v>31</v>
      </c>
      <c r="CU12" s="14">
        <f t="shared" si="23"/>
        <v>68</v>
      </c>
      <c r="CV12" s="5">
        <f t="shared" si="24"/>
        <v>831</v>
      </c>
      <c r="CW12" s="4">
        <f t="shared" si="24"/>
        <v>823</v>
      </c>
      <c r="CX12" s="6">
        <f t="shared" si="25"/>
        <v>68</v>
      </c>
      <c r="CY12" s="162">
        <v>45</v>
      </c>
      <c r="CZ12" s="171">
        <f t="shared" si="26"/>
        <v>3060</v>
      </c>
      <c r="DB12" s="2">
        <f t="shared" si="34"/>
        <v>68</v>
      </c>
      <c r="DC12" s="61"/>
      <c r="DD12" s="143"/>
      <c r="DE12" s="149">
        <f t="shared" si="35"/>
        <v>68</v>
      </c>
    </row>
    <row r="13" spans="1:109" ht="15.75" customHeight="1">
      <c r="A13" s="33" t="s">
        <v>37</v>
      </c>
      <c r="B13" s="3" t="s">
        <v>38</v>
      </c>
      <c r="C13" s="104" t="s">
        <v>21</v>
      </c>
      <c r="D13" s="34">
        <v>2</v>
      </c>
      <c r="E13" s="34" t="s">
        <v>26</v>
      </c>
      <c r="F13" s="14">
        <v>5</v>
      </c>
      <c r="G13" s="62"/>
      <c r="H13" s="143"/>
      <c r="I13" s="13">
        <f t="shared" si="0"/>
        <v>5</v>
      </c>
      <c r="J13" s="62"/>
      <c r="K13" s="143"/>
      <c r="L13" s="13">
        <f t="shared" si="1"/>
        <v>5</v>
      </c>
      <c r="M13" s="61"/>
      <c r="N13" s="143"/>
      <c r="O13" s="13">
        <f t="shared" si="2"/>
        <v>5</v>
      </c>
      <c r="P13" s="62"/>
      <c r="Q13" s="143">
        <f>1</f>
        <v>1</v>
      </c>
      <c r="R13" s="30">
        <f t="shared" si="3"/>
        <v>4</v>
      </c>
      <c r="S13" s="183">
        <v>-0.25</v>
      </c>
      <c r="T13" s="143">
        <f>2.25</f>
        <v>2.25</v>
      </c>
      <c r="U13" s="13">
        <f t="shared" si="4"/>
        <v>1.5</v>
      </c>
      <c r="V13" s="62">
        <v>6</v>
      </c>
      <c r="W13" s="143">
        <v>2.25</v>
      </c>
      <c r="X13" s="13">
        <f t="shared" si="5"/>
        <v>5.25</v>
      </c>
      <c r="Y13" s="62">
        <v>2.25</v>
      </c>
      <c r="Z13" s="143">
        <v>2</v>
      </c>
      <c r="AA13" s="13">
        <f t="shared" si="27"/>
        <v>5.5</v>
      </c>
      <c r="AB13" s="62"/>
      <c r="AC13" s="143"/>
      <c r="AD13" s="13">
        <f t="shared" si="28"/>
        <v>5.5</v>
      </c>
      <c r="AE13" s="62">
        <v>6</v>
      </c>
      <c r="AF13" s="143">
        <f>2</f>
        <v>2</v>
      </c>
      <c r="AG13" s="13">
        <f t="shared" si="29"/>
        <v>9.5</v>
      </c>
      <c r="AH13" s="62"/>
      <c r="AI13" s="143">
        <v>2</v>
      </c>
      <c r="AJ13" s="13">
        <f t="shared" si="30"/>
        <v>7.5</v>
      </c>
      <c r="AK13" s="62"/>
      <c r="AL13" s="143">
        <f>0.5+2+1.5</f>
        <v>4</v>
      </c>
      <c r="AM13" s="13">
        <f t="shared" si="6"/>
        <v>3.5</v>
      </c>
      <c r="AN13" s="62"/>
      <c r="AO13" s="143"/>
      <c r="AP13" s="13">
        <f t="shared" si="7"/>
        <v>3.5</v>
      </c>
      <c r="AQ13" s="62"/>
      <c r="AR13" s="143"/>
      <c r="AS13" s="13">
        <f t="shared" si="8"/>
        <v>3.5</v>
      </c>
      <c r="AT13" s="62">
        <v>6</v>
      </c>
      <c r="AU13" s="143">
        <f>1+1+1</f>
        <v>3</v>
      </c>
      <c r="AV13" s="13">
        <f t="shared" si="9"/>
        <v>6.5</v>
      </c>
      <c r="AW13" s="62"/>
      <c r="AX13" s="143"/>
      <c r="AY13" s="13">
        <f t="shared" si="10"/>
        <v>6.5</v>
      </c>
      <c r="AZ13" s="62">
        <v>6</v>
      </c>
      <c r="BA13" s="143">
        <f>2</f>
        <v>2</v>
      </c>
      <c r="BB13" s="13">
        <f t="shared" si="11"/>
        <v>10.5</v>
      </c>
      <c r="BC13" s="62">
        <v>-0.5</v>
      </c>
      <c r="BD13" s="143"/>
      <c r="BE13" s="13">
        <f t="shared" si="12"/>
        <v>10</v>
      </c>
      <c r="BF13" s="62"/>
      <c r="BG13" s="143">
        <f>1+2.25+0.5</f>
        <v>3.75</v>
      </c>
      <c r="BH13" s="13">
        <f t="shared" si="13"/>
        <v>6.25</v>
      </c>
      <c r="BI13" s="184"/>
      <c r="BJ13" s="143"/>
      <c r="BK13" s="13">
        <f t="shared" si="14"/>
        <v>6.25</v>
      </c>
      <c r="BL13" s="62">
        <v>6</v>
      </c>
      <c r="BM13" s="143"/>
      <c r="BN13" s="13">
        <f t="shared" si="15"/>
        <v>12.25</v>
      </c>
      <c r="BO13" s="62">
        <v>6</v>
      </c>
      <c r="BP13" s="143">
        <f>1.5+1.25+2+1.25+1+2</f>
        <v>9</v>
      </c>
      <c r="BQ13" s="13">
        <f t="shared" si="16"/>
        <v>9.25</v>
      </c>
      <c r="BR13" s="62"/>
      <c r="BS13" s="143"/>
      <c r="BT13" s="13">
        <f t="shared" si="17"/>
        <v>9.25</v>
      </c>
      <c r="BU13" s="62"/>
      <c r="BV13" s="143">
        <v>1</v>
      </c>
      <c r="BW13" s="13">
        <f t="shared" si="18"/>
        <v>8.25</v>
      </c>
      <c r="BX13" s="62"/>
      <c r="BY13" s="143">
        <v>2</v>
      </c>
      <c r="BZ13" s="13">
        <f t="shared" si="19"/>
        <v>6.25</v>
      </c>
      <c r="CA13" s="62">
        <v>6</v>
      </c>
      <c r="CB13" s="143">
        <f>1+1.25+1.5</f>
        <v>3.75</v>
      </c>
      <c r="CC13" s="13">
        <f t="shared" si="20"/>
        <v>8.5</v>
      </c>
      <c r="CD13" s="62"/>
      <c r="CE13" s="143"/>
      <c r="CF13" s="13">
        <f t="shared" si="21"/>
        <v>8.5</v>
      </c>
      <c r="CG13" s="62"/>
      <c r="CH13" s="143"/>
      <c r="CI13" s="13">
        <f>CF13+CG13-CH13</f>
        <v>8.5</v>
      </c>
      <c r="CJ13" s="62"/>
      <c r="CK13" s="143">
        <f>1+1+0.75+1.25</f>
        <v>4</v>
      </c>
      <c r="CL13" s="13">
        <f>CI13+CJ13-CK13</f>
        <v>4.5</v>
      </c>
      <c r="CM13" s="62"/>
      <c r="CN13" s="143"/>
      <c r="CO13" s="13">
        <f t="shared" si="22"/>
        <v>4.5</v>
      </c>
      <c r="CP13" s="62"/>
      <c r="CQ13" s="143"/>
      <c r="CR13" s="13">
        <f t="shared" si="33"/>
        <v>4.5</v>
      </c>
      <c r="CS13" s="61"/>
      <c r="CT13" s="143"/>
      <c r="CU13" s="14">
        <f t="shared" si="23"/>
        <v>4.5</v>
      </c>
      <c r="CV13" s="5">
        <f t="shared" si="24"/>
        <v>43.5</v>
      </c>
      <c r="CW13" s="4">
        <f t="shared" si="24"/>
        <v>44</v>
      </c>
      <c r="CX13" s="6">
        <f t="shared" si="25"/>
        <v>4.5</v>
      </c>
      <c r="CY13" s="162">
        <v>750</v>
      </c>
      <c r="CZ13" s="171">
        <f t="shared" si="26"/>
        <v>3375</v>
      </c>
      <c r="DB13" s="2">
        <f t="shared" si="34"/>
        <v>4.5</v>
      </c>
      <c r="DC13" s="61"/>
      <c r="DD13" s="143">
        <v>1</v>
      </c>
      <c r="DE13" s="149">
        <f t="shared" si="35"/>
        <v>3.5</v>
      </c>
    </row>
    <row r="14" spans="1:109" ht="16.5" customHeight="1">
      <c r="A14" s="33" t="s">
        <v>39</v>
      </c>
      <c r="B14" s="7" t="s">
        <v>40</v>
      </c>
      <c r="C14" s="105" t="s">
        <v>21</v>
      </c>
      <c r="D14" s="35" t="s">
        <v>186</v>
      </c>
      <c r="E14" s="35" t="s">
        <v>41</v>
      </c>
      <c r="F14" s="14">
        <v>20</v>
      </c>
      <c r="G14" s="62"/>
      <c r="H14" s="143"/>
      <c r="I14" s="13">
        <f t="shared" si="0"/>
        <v>20</v>
      </c>
      <c r="J14" s="62"/>
      <c r="K14" s="143"/>
      <c r="L14" s="13">
        <f t="shared" si="1"/>
        <v>20</v>
      </c>
      <c r="M14" s="61">
        <v>24</v>
      </c>
      <c r="N14" s="143">
        <f>17+0.5</f>
        <v>17.5</v>
      </c>
      <c r="O14" s="13">
        <f t="shared" si="2"/>
        <v>26.5</v>
      </c>
      <c r="P14" s="62"/>
      <c r="Q14" s="143">
        <f>2+15</f>
        <v>17</v>
      </c>
      <c r="R14" s="30">
        <f t="shared" si="3"/>
        <v>9.5</v>
      </c>
      <c r="S14" s="61">
        <v>32</v>
      </c>
      <c r="T14" s="143">
        <f>1+1+3+1</f>
        <v>6</v>
      </c>
      <c r="U14" s="13">
        <f t="shared" si="4"/>
        <v>35.5</v>
      </c>
      <c r="V14" s="62">
        <v>16</v>
      </c>
      <c r="W14" s="143">
        <f>15+2+1+1+1+1.5+4</f>
        <v>25.5</v>
      </c>
      <c r="X14" s="13">
        <f t="shared" si="5"/>
        <v>26</v>
      </c>
      <c r="Y14" s="62">
        <v>8</v>
      </c>
      <c r="Z14" s="143">
        <f>5+3+3+2.5</f>
        <v>13.5</v>
      </c>
      <c r="AA14" s="13">
        <f t="shared" si="27"/>
        <v>20.5</v>
      </c>
      <c r="AB14" s="62"/>
      <c r="AC14" s="143"/>
      <c r="AD14" s="13">
        <f t="shared" si="28"/>
        <v>20.5</v>
      </c>
      <c r="AE14" s="62">
        <v>16</v>
      </c>
      <c r="AF14" s="143">
        <f>3+11+2+1</f>
        <v>17</v>
      </c>
      <c r="AG14" s="13">
        <f t="shared" si="29"/>
        <v>19.5</v>
      </c>
      <c r="AH14" s="62">
        <v>8</v>
      </c>
      <c r="AI14" s="143">
        <f>4</f>
        <v>4</v>
      </c>
      <c r="AJ14" s="13">
        <f t="shared" si="30"/>
        <v>23.5</v>
      </c>
      <c r="AK14" s="62">
        <v>40</v>
      </c>
      <c r="AL14" s="143">
        <f>17+2+1</f>
        <v>20</v>
      </c>
      <c r="AM14" s="13">
        <f t="shared" si="6"/>
        <v>43.5</v>
      </c>
      <c r="AN14" s="62"/>
      <c r="AO14" s="143"/>
      <c r="AP14" s="13">
        <f t="shared" si="7"/>
        <v>43.5</v>
      </c>
      <c r="AQ14" s="62"/>
      <c r="AR14" s="143">
        <f>17+2+2+2+1+1</f>
        <v>25</v>
      </c>
      <c r="AS14" s="13">
        <f t="shared" si="8"/>
        <v>18.5</v>
      </c>
      <c r="AT14" s="62">
        <v>32</v>
      </c>
      <c r="AU14" s="143">
        <f>17+1.5+3+3</f>
        <v>24.5</v>
      </c>
      <c r="AV14" s="13">
        <f t="shared" si="9"/>
        <v>26</v>
      </c>
      <c r="AW14" s="62"/>
      <c r="AX14" s="143"/>
      <c r="AY14" s="180">
        <f t="shared" si="10"/>
        <v>26</v>
      </c>
      <c r="AZ14" s="62"/>
      <c r="BA14" s="143">
        <f>1+0.5+0.5+0.5</f>
        <v>2.5</v>
      </c>
      <c r="BB14" s="13">
        <f t="shared" si="11"/>
        <v>23.5</v>
      </c>
      <c r="BC14" s="62">
        <v>8</v>
      </c>
      <c r="BD14" s="143">
        <f>3+2</f>
        <v>5</v>
      </c>
      <c r="BE14" s="13">
        <f t="shared" si="12"/>
        <v>26.5</v>
      </c>
      <c r="BF14" s="62">
        <v>16</v>
      </c>
      <c r="BG14" s="143">
        <f>7+1.5+1.5+4+1+1</f>
        <v>16</v>
      </c>
      <c r="BH14" s="13">
        <f t="shared" si="13"/>
        <v>26.5</v>
      </c>
      <c r="BI14" s="184"/>
      <c r="BJ14" s="143"/>
      <c r="BK14" s="13">
        <f t="shared" si="14"/>
        <v>26.5</v>
      </c>
      <c r="BL14" s="62">
        <v>16</v>
      </c>
      <c r="BM14" s="143">
        <f>5+1.5+2+4</f>
        <v>12.5</v>
      </c>
      <c r="BN14" s="13">
        <f t="shared" si="15"/>
        <v>30</v>
      </c>
      <c r="BO14" s="62">
        <v>8</v>
      </c>
      <c r="BP14" s="143">
        <f>7+3+2+2+2</f>
        <v>16</v>
      </c>
      <c r="BQ14" s="13">
        <f t="shared" si="16"/>
        <v>22</v>
      </c>
      <c r="BR14" s="62"/>
      <c r="BS14" s="143"/>
      <c r="BT14" s="13">
        <f t="shared" si="17"/>
        <v>22</v>
      </c>
      <c r="BU14" s="62">
        <v>8</v>
      </c>
      <c r="BV14" s="143">
        <f>1+2+2+0.5+0.5+0.5</f>
        <v>6.5</v>
      </c>
      <c r="BW14" s="13">
        <f t="shared" si="18"/>
        <v>23.5</v>
      </c>
      <c r="BX14" s="62"/>
      <c r="BY14" s="143"/>
      <c r="BZ14" s="13">
        <f t="shared" si="19"/>
        <v>23.5</v>
      </c>
      <c r="CA14" s="62"/>
      <c r="CB14" s="143"/>
      <c r="CC14" s="13">
        <f t="shared" si="20"/>
        <v>23.5</v>
      </c>
      <c r="CD14" s="62"/>
      <c r="CE14" s="143"/>
      <c r="CF14" s="13">
        <f t="shared" si="21"/>
        <v>23.5</v>
      </c>
      <c r="CG14" s="62"/>
      <c r="CH14" s="143">
        <f>3+2+1.5+1.5</f>
        <v>8</v>
      </c>
      <c r="CI14" s="13">
        <f t="shared" si="31"/>
        <v>15.5</v>
      </c>
      <c r="CJ14" s="62"/>
      <c r="CK14" s="143">
        <f>1.5+3+2+1</f>
        <v>7.5</v>
      </c>
      <c r="CL14" s="13">
        <f t="shared" si="32"/>
        <v>8</v>
      </c>
      <c r="CM14" s="62"/>
      <c r="CN14" s="143"/>
      <c r="CO14" s="13">
        <f t="shared" si="22"/>
        <v>8</v>
      </c>
      <c r="CP14" s="62"/>
      <c r="CQ14" s="143"/>
      <c r="CR14" s="13">
        <f t="shared" si="33"/>
        <v>8</v>
      </c>
      <c r="CS14" s="61"/>
      <c r="CT14" s="143"/>
      <c r="CU14" s="14">
        <f t="shared" si="23"/>
        <v>8</v>
      </c>
      <c r="CV14" s="5">
        <f t="shared" si="24"/>
        <v>232</v>
      </c>
      <c r="CW14" s="4">
        <f t="shared" si="24"/>
        <v>244</v>
      </c>
      <c r="CX14" s="6">
        <f t="shared" si="25"/>
        <v>8</v>
      </c>
      <c r="CY14" s="162">
        <v>350</v>
      </c>
      <c r="CZ14" s="171">
        <f t="shared" si="26"/>
        <v>2800</v>
      </c>
      <c r="DB14" s="2">
        <f t="shared" si="34"/>
        <v>8</v>
      </c>
      <c r="DC14" s="61"/>
      <c r="DD14" s="143">
        <f>1</f>
        <v>1</v>
      </c>
      <c r="DE14" s="149">
        <f t="shared" si="35"/>
        <v>7</v>
      </c>
    </row>
    <row r="15" spans="1:109" ht="15.75" customHeight="1">
      <c r="A15" s="33" t="s">
        <v>42</v>
      </c>
      <c r="B15" s="157" t="s">
        <v>43</v>
      </c>
      <c r="C15" s="158" t="s">
        <v>25</v>
      </c>
      <c r="D15" s="159">
        <v>30</v>
      </c>
      <c r="E15" s="159" t="s">
        <v>41</v>
      </c>
      <c r="F15" s="14">
        <v>46</v>
      </c>
      <c r="G15" s="62"/>
      <c r="H15" s="143"/>
      <c r="I15" s="13">
        <f t="shared" si="0"/>
        <v>46</v>
      </c>
      <c r="J15" s="62"/>
      <c r="K15" s="143"/>
      <c r="L15" s="13">
        <f t="shared" si="1"/>
        <v>46</v>
      </c>
      <c r="M15" s="61"/>
      <c r="N15" s="143">
        <v>2</v>
      </c>
      <c r="O15" s="13">
        <f t="shared" si="2"/>
        <v>44</v>
      </c>
      <c r="P15" s="62"/>
      <c r="Q15" s="143">
        <f>10+4</f>
        <v>14</v>
      </c>
      <c r="R15" s="30">
        <f t="shared" si="3"/>
        <v>30</v>
      </c>
      <c r="S15" s="61">
        <v>45</v>
      </c>
      <c r="T15" s="143">
        <f>8+6+7+5</f>
        <v>26</v>
      </c>
      <c r="U15" s="13">
        <f t="shared" si="4"/>
        <v>49</v>
      </c>
      <c r="V15" s="62">
        <v>45</v>
      </c>
      <c r="W15" s="143">
        <f>20+5+12+9+8</f>
        <v>54</v>
      </c>
      <c r="X15" s="13">
        <f t="shared" si="5"/>
        <v>40</v>
      </c>
      <c r="Y15" s="62">
        <v>25</v>
      </c>
      <c r="Z15" s="143">
        <f>3+7+5</f>
        <v>15</v>
      </c>
      <c r="AA15" s="13">
        <f t="shared" si="27"/>
        <v>50</v>
      </c>
      <c r="AB15" s="62"/>
      <c r="AC15" s="143"/>
      <c r="AD15" s="13">
        <f t="shared" si="28"/>
        <v>50</v>
      </c>
      <c r="AE15" s="62"/>
      <c r="AF15" s="143">
        <f>13+1</f>
        <v>14</v>
      </c>
      <c r="AG15" s="13">
        <f t="shared" si="29"/>
        <v>36</v>
      </c>
      <c r="AH15" s="62">
        <v>45</v>
      </c>
      <c r="AI15" s="143">
        <f>20</f>
        <v>20</v>
      </c>
      <c r="AJ15" s="13">
        <f t="shared" si="30"/>
        <v>61</v>
      </c>
      <c r="AK15" s="62">
        <v>45</v>
      </c>
      <c r="AL15" s="143">
        <f>20+7+8+7</f>
        <v>42</v>
      </c>
      <c r="AM15" s="13">
        <f t="shared" si="6"/>
        <v>64</v>
      </c>
      <c r="AN15" s="62"/>
      <c r="AO15" s="143"/>
      <c r="AP15" s="13">
        <f t="shared" si="7"/>
        <v>64</v>
      </c>
      <c r="AQ15" s="62"/>
      <c r="AR15" s="143">
        <f>1+8</f>
        <v>9</v>
      </c>
      <c r="AS15" s="13">
        <f t="shared" si="8"/>
        <v>55</v>
      </c>
      <c r="AT15" s="62">
        <v>45</v>
      </c>
      <c r="AU15" s="143">
        <f>16+8+9+10+4+8+8+7</f>
        <v>70</v>
      </c>
      <c r="AV15" s="13">
        <f t="shared" si="9"/>
        <v>30</v>
      </c>
      <c r="AW15" s="62"/>
      <c r="AX15" s="143"/>
      <c r="AY15" s="13">
        <f t="shared" si="10"/>
        <v>30</v>
      </c>
      <c r="AZ15" s="62">
        <f>90+14</f>
        <v>104</v>
      </c>
      <c r="BA15" s="143">
        <f>20+3+5+3+2+2</f>
        <v>35</v>
      </c>
      <c r="BB15" s="13">
        <f t="shared" si="11"/>
        <v>99</v>
      </c>
      <c r="BC15" s="62"/>
      <c r="BD15" s="143">
        <f>4+30+8</f>
        <v>42</v>
      </c>
      <c r="BE15" s="13">
        <f t="shared" si="12"/>
        <v>57</v>
      </c>
      <c r="BF15" s="62"/>
      <c r="BG15" s="143">
        <f>2+9+7</f>
        <v>18</v>
      </c>
      <c r="BH15" s="13">
        <f t="shared" si="13"/>
        <v>39</v>
      </c>
      <c r="BI15" s="184"/>
      <c r="BJ15" s="143"/>
      <c r="BK15" s="13">
        <f t="shared" si="14"/>
        <v>39</v>
      </c>
      <c r="BL15" s="62">
        <f>45+13</f>
        <v>58</v>
      </c>
      <c r="BM15" s="143">
        <f>2+20+5+3</f>
        <v>30</v>
      </c>
      <c r="BN15" s="13">
        <f t="shared" si="15"/>
        <v>67</v>
      </c>
      <c r="BO15" s="62">
        <v>45</v>
      </c>
      <c r="BP15" s="143">
        <f>2+7+20+5+8+8+9</f>
        <v>59</v>
      </c>
      <c r="BQ15" s="13">
        <f t="shared" si="16"/>
        <v>53</v>
      </c>
      <c r="BR15" s="62"/>
      <c r="BS15" s="143"/>
      <c r="BT15" s="13">
        <f t="shared" si="17"/>
        <v>53</v>
      </c>
      <c r="BU15" s="62">
        <v>45</v>
      </c>
      <c r="BV15" s="143">
        <f>5+13+2+1+1+2+1</f>
        <v>25</v>
      </c>
      <c r="BW15" s="13">
        <f t="shared" si="18"/>
        <v>73</v>
      </c>
      <c r="BX15" s="62">
        <v>45</v>
      </c>
      <c r="BY15" s="143">
        <f>30+12</f>
        <v>42</v>
      </c>
      <c r="BZ15" s="13">
        <f t="shared" si="19"/>
        <v>76</v>
      </c>
      <c r="CA15" s="62"/>
      <c r="CB15" s="143">
        <f>4+9+8+8</f>
        <v>29</v>
      </c>
      <c r="CC15" s="13">
        <f t="shared" si="20"/>
        <v>47</v>
      </c>
      <c r="CD15" s="62"/>
      <c r="CE15" s="143"/>
      <c r="CF15" s="13">
        <f t="shared" si="21"/>
        <v>47</v>
      </c>
      <c r="CG15" s="62">
        <v>45</v>
      </c>
      <c r="CH15" s="143">
        <f>7+9+5</f>
        <v>21</v>
      </c>
      <c r="CI15" s="13">
        <f t="shared" si="31"/>
        <v>71</v>
      </c>
      <c r="CJ15" s="62">
        <f>45+33</f>
        <v>78</v>
      </c>
      <c r="CK15" s="143">
        <f>15+9+8+4+5+20+10+8+11+8+6</f>
        <v>104</v>
      </c>
      <c r="CL15" s="13">
        <f t="shared" si="32"/>
        <v>45</v>
      </c>
      <c r="CM15" s="62"/>
      <c r="CN15" s="143"/>
      <c r="CO15" s="13">
        <f t="shared" si="22"/>
        <v>45</v>
      </c>
      <c r="CP15" s="62"/>
      <c r="CQ15" s="143">
        <f>3+15+2+1+1</f>
        <v>22</v>
      </c>
      <c r="CR15" s="13">
        <f t="shared" si="33"/>
        <v>23</v>
      </c>
      <c r="CS15" s="61">
        <v>45</v>
      </c>
      <c r="CT15" s="143">
        <f>3</f>
        <v>3</v>
      </c>
      <c r="CU15" s="14">
        <f t="shared" si="23"/>
        <v>65</v>
      </c>
      <c r="CV15" s="5">
        <f t="shared" si="24"/>
        <v>715</v>
      </c>
      <c r="CW15" s="4">
        <f t="shared" si="24"/>
        <v>696</v>
      </c>
      <c r="CX15" s="6">
        <f t="shared" si="25"/>
        <v>65</v>
      </c>
      <c r="CY15" s="162">
        <v>73</v>
      </c>
      <c r="CZ15" s="171">
        <f t="shared" si="26"/>
        <v>4745</v>
      </c>
      <c r="DB15" s="2">
        <f t="shared" si="34"/>
        <v>65</v>
      </c>
      <c r="DC15" s="61"/>
      <c r="DD15" s="143">
        <f>9+30</f>
        <v>39</v>
      </c>
      <c r="DE15" s="149">
        <f t="shared" si="35"/>
        <v>26</v>
      </c>
    </row>
    <row r="16" spans="1:109" ht="15.75" customHeight="1">
      <c r="A16" s="33" t="s">
        <v>44</v>
      </c>
      <c r="B16" s="49" t="s">
        <v>45</v>
      </c>
      <c r="C16" s="108" t="s">
        <v>32</v>
      </c>
      <c r="D16" s="52" t="s">
        <v>179</v>
      </c>
      <c r="E16" s="52" t="s">
        <v>41</v>
      </c>
      <c r="F16" s="14">
        <v>57</v>
      </c>
      <c r="G16" s="176"/>
      <c r="H16" s="143"/>
      <c r="I16" s="13">
        <f t="shared" si="0"/>
        <v>57</v>
      </c>
      <c r="J16" s="176"/>
      <c r="K16" s="143"/>
      <c r="L16" s="13">
        <f t="shared" si="1"/>
        <v>57</v>
      </c>
      <c r="M16" s="63">
        <f>1+50</f>
        <v>51</v>
      </c>
      <c r="N16" s="143">
        <f>35+2+1</f>
        <v>38</v>
      </c>
      <c r="O16" s="13">
        <f t="shared" si="2"/>
        <v>70</v>
      </c>
      <c r="P16" s="176"/>
      <c r="Q16" s="143">
        <f>6+34</f>
        <v>40</v>
      </c>
      <c r="R16" s="30">
        <f t="shared" si="3"/>
        <v>30</v>
      </c>
      <c r="S16" s="63">
        <v>25</v>
      </c>
      <c r="T16" s="143">
        <f>2+4+12+3</f>
        <v>21</v>
      </c>
      <c r="U16" s="13">
        <f t="shared" si="4"/>
        <v>34</v>
      </c>
      <c r="V16" s="176">
        <v>60</v>
      </c>
      <c r="W16" s="143">
        <f>4+3+10</f>
        <v>17</v>
      </c>
      <c r="X16" s="13">
        <f t="shared" si="5"/>
        <v>77</v>
      </c>
      <c r="Y16" s="176">
        <v>30</v>
      </c>
      <c r="Z16" s="143">
        <f>6+2+15+11+4+7+8+6+3</f>
        <v>62</v>
      </c>
      <c r="AA16" s="13">
        <f t="shared" si="27"/>
        <v>45</v>
      </c>
      <c r="AB16" s="176"/>
      <c r="AC16" s="143"/>
      <c r="AD16" s="13">
        <f t="shared" si="28"/>
        <v>45</v>
      </c>
      <c r="AE16" s="176">
        <v>25</v>
      </c>
      <c r="AF16" s="143">
        <f>5+2+5+2+2+1+1</f>
        <v>18</v>
      </c>
      <c r="AG16" s="13">
        <f t="shared" si="29"/>
        <v>52</v>
      </c>
      <c r="AH16" s="176">
        <v>25</v>
      </c>
      <c r="AI16" s="143">
        <f>3+8+5</f>
        <v>16</v>
      </c>
      <c r="AJ16" s="13">
        <f t="shared" si="30"/>
        <v>61</v>
      </c>
      <c r="AK16" s="176">
        <v>25</v>
      </c>
      <c r="AL16" s="143">
        <f>3+6+16+3</f>
        <v>28</v>
      </c>
      <c r="AM16" s="13">
        <f t="shared" si="6"/>
        <v>58</v>
      </c>
      <c r="AN16" s="176"/>
      <c r="AO16" s="143"/>
      <c r="AP16" s="13">
        <f t="shared" si="7"/>
        <v>58</v>
      </c>
      <c r="AQ16" s="176"/>
      <c r="AR16" s="143">
        <f>15+8+7</f>
        <v>30</v>
      </c>
      <c r="AS16" s="13">
        <f t="shared" si="8"/>
        <v>28</v>
      </c>
      <c r="AT16" s="176">
        <f>-4+80</f>
        <v>76</v>
      </c>
      <c r="AU16" s="143">
        <f>6+4+18+4+4+3+8+3+4</f>
        <v>54</v>
      </c>
      <c r="AV16" s="13">
        <f t="shared" si="9"/>
        <v>50</v>
      </c>
      <c r="AW16" s="176"/>
      <c r="AX16" s="143"/>
      <c r="AY16" s="13">
        <f t="shared" si="10"/>
        <v>50</v>
      </c>
      <c r="AZ16" s="176"/>
      <c r="BA16" s="143">
        <f>3+2+9</f>
        <v>14</v>
      </c>
      <c r="BB16" s="13">
        <f t="shared" si="11"/>
        <v>36</v>
      </c>
      <c r="BC16" s="176">
        <v>80</v>
      </c>
      <c r="BD16" s="143">
        <f>6+4+12+7+4+3</f>
        <v>36</v>
      </c>
      <c r="BE16" s="13">
        <f t="shared" si="12"/>
        <v>80</v>
      </c>
      <c r="BF16" s="176"/>
      <c r="BG16" s="143">
        <f>6+4+28</f>
        <v>38</v>
      </c>
      <c r="BH16" s="13">
        <f t="shared" si="13"/>
        <v>42</v>
      </c>
      <c r="BI16" s="186"/>
      <c r="BJ16" s="143"/>
      <c r="BK16" s="13">
        <f t="shared" si="14"/>
        <v>42</v>
      </c>
      <c r="BL16" s="176">
        <f>25+25</f>
        <v>50</v>
      </c>
      <c r="BM16" s="143">
        <f>3+4+10+6+3</f>
        <v>26</v>
      </c>
      <c r="BN16" s="13">
        <f t="shared" si="15"/>
        <v>66</v>
      </c>
      <c r="BO16" s="176">
        <v>25</v>
      </c>
      <c r="BP16" s="143">
        <f>3+2+17+11+14</f>
        <v>47</v>
      </c>
      <c r="BQ16" s="13">
        <f t="shared" si="16"/>
        <v>44</v>
      </c>
      <c r="BR16" s="176"/>
      <c r="BS16" s="143"/>
      <c r="BT16" s="13">
        <f t="shared" si="17"/>
        <v>44</v>
      </c>
      <c r="BU16" s="176">
        <v>25</v>
      </c>
      <c r="BV16" s="143">
        <f>2+6+8+2</f>
        <v>18</v>
      </c>
      <c r="BW16" s="13">
        <f t="shared" si="18"/>
        <v>51</v>
      </c>
      <c r="BX16" s="176">
        <v>25</v>
      </c>
      <c r="BY16" s="143">
        <f>11+8</f>
        <v>19</v>
      </c>
      <c r="BZ16" s="13">
        <f t="shared" si="19"/>
        <v>57</v>
      </c>
      <c r="CA16" s="176">
        <v>50</v>
      </c>
      <c r="CB16" s="143">
        <f>6+12+33+6+15+5</f>
        <v>77</v>
      </c>
      <c r="CC16" s="13">
        <f t="shared" si="20"/>
        <v>30</v>
      </c>
      <c r="CD16" s="176"/>
      <c r="CE16" s="143"/>
      <c r="CF16" s="13">
        <f t="shared" si="21"/>
        <v>30</v>
      </c>
      <c r="CG16" s="176">
        <f>40+20</f>
        <v>60</v>
      </c>
      <c r="CH16" s="143">
        <f>3+2+4+3+9</f>
        <v>21</v>
      </c>
      <c r="CI16" s="13">
        <f t="shared" si="31"/>
        <v>69</v>
      </c>
      <c r="CJ16" s="176">
        <f>2+75</f>
        <v>77</v>
      </c>
      <c r="CK16" s="143">
        <f>6+16+27+8+3</f>
        <v>60</v>
      </c>
      <c r="CL16" s="13">
        <f t="shared" si="32"/>
        <v>86</v>
      </c>
      <c r="CM16" s="176"/>
      <c r="CN16" s="143"/>
      <c r="CO16" s="13">
        <f t="shared" si="22"/>
        <v>86</v>
      </c>
      <c r="CP16" s="176">
        <v>50</v>
      </c>
      <c r="CQ16" s="143">
        <f>64+11+4+2+1</f>
        <v>82</v>
      </c>
      <c r="CR16" s="13">
        <f t="shared" si="33"/>
        <v>54</v>
      </c>
      <c r="CS16" s="63"/>
      <c r="CT16" s="143">
        <f>30+15</f>
        <v>45</v>
      </c>
      <c r="CU16" s="14">
        <f t="shared" si="23"/>
        <v>9</v>
      </c>
      <c r="CV16" s="5">
        <f t="shared" si="24"/>
        <v>759</v>
      </c>
      <c r="CW16" s="4">
        <f t="shared" si="24"/>
        <v>807</v>
      </c>
      <c r="CX16" s="6">
        <f t="shared" si="25"/>
        <v>9</v>
      </c>
      <c r="CY16" s="162">
        <v>110</v>
      </c>
      <c r="CZ16" s="171">
        <f t="shared" si="26"/>
        <v>990</v>
      </c>
      <c r="DB16" s="2">
        <f t="shared" si="34"/>
        <v>9</v>
      </c>
      <c r="DC16" s="63"/>
      <c r="DD16" s="143">
        <f>1</f>
        <v>1</v>
      </c>
      <c r="DE16" s="149">
        <f t="shared" si="35"/>
        <v>8</v>
      </c>
    </row>
    <row r="17" spans="1:109" ht="15.75" customHeight="1">
      <c r="A17" s="33"/>
      <c r="B17" s="49" t="s">
        <v>46</v>
      </c>
      <c r="C17" s="108" t="s">
        <v>47</v>
      </c>
      <c r="D17" s="52">
        <v>20</v>
      </c>
      <c r="E17" s="52" t="s">
        <v>47</v>
      </c>
      <c r="F17" s="14">
        <v>114</v>
      </c>
      <c r="G17" s="62"/>
      <c r="H17" s="143"/>
      <c r="I17" s="13">
        <f t="shared" si="0"/>
        <v>114</v>
      </c>
      <c r="J17" s="62"/>
      <c r="K17" s="143"/>
      <c r="L17" s="13">
        <f t="shared" si="1"/>
        <v>114</v>
      </c>
      <c r="M17" s="61"/>
      <c r="N17" s="143">
        <f>48+3</f>
        <v>51</v>
      </c>
      <c r="O17" s="13">
        <f t="shared" si="2"/>
        <v>63</v>
      </c>
      <c r="P17" s="64"/>
      <c r="Q17" s="143">
        <f>5+58</f>
        <v>63</v>
      </c>
      <c r="R17" s="30">
        <f t="shared" si="3"/>
        <v>0</v>
      </c>
      <c r="S17" s="183">
        <f>-6+15+30+20</f>
        <v>59</v>
      </c>
      <c r="T17" s="143"/>
      <c r="U17" s="13">
        <f t="shared" si="4"/>
        <v>59</v>
      </c>
      <c r="V17" s="62">
        <v>15</v>
      </c>
      <c r="W17" s="143">
        <f>3+20</f>
        <v>23</v>
      </c>
      <c r="X17" s="13">
        <f t="shared" si="5"/>
        <v>51</v>
      </c>
      <c r="Y17" s="62">
        <v>15</v>
      </c>
      <c r="Z17" s="143">
        <f>6+24</f>
        <v>30</v>
      </c>
      <c r="AA17" s="13">
        <f t="shared" si="27"/>
        <v>36</v>
      </c>
      <c r="AB17" s="62"/>
      <c r="AC17" s="143"/>
      <c r="AD17" s="13">
        <f t="shared" si="28"/>
        <v>36</v>
      </c>
      <c r="AE17" s="62">
        <v>35</v>
      </c>
      <c r="AF17" s="143">
        <f>4+19</f>
        <v>23</v>
      </c>
      <c r="AG17" s="13">
        <f t="shared" si="29"/>
        <v>48</v>
      </c>
      <c r="AH17" s="62">
        <f>15+20</f>
        <v>35</v>
      </c>
      <c r="AI17" s="143">
        <f>2+19</f>
        <v>21</v>
      </c>
      <c r="AJ17" s="13">
        <f t="shared" si="30"/>
        <v>62</v>
      </c>
      <c r="AK17" s="62">
        <f>15+20+16</f>
        <v>51</v>
      </c>
      <c r="AL17" s="143">
        <f>4+46</f>
        <v>50</v>
      </c>
      <c r="AM17" s="13">
        <f t="shared" si="6"/>
        <v>63</v>
      </c>
      <c r="AN17" s="62"/>
      <c r="AO17" s="143"/>
      <c r="AP17" s="13">
        <f t="shared" si="7"/>
        <v>63</v>
      </c>
      <c r="AQ17" s="62"/>
      <c r="AR17" s="143">
        <f>12+13</f>
        <v>25</v>
      </c>
      <c r="AS17" s="13">
        <f t="shared" si="8"/>
        <v>38</v>
      </c>
      <c r="AT17" s="62">
        <f>-5+15+10+20</f>
        <v>40</v>
      </c>
      <c r="AU17" s="143">
        <f>4+34</f>
        <v>38</v>
      </c>
      <c r="AV17" s="13">
        <f t="shared" si="9"/>
        <v>40</v>
      </c>
      <c r="AW17" s="62"/>
      <c r="AX17" s="143"/>
      <c r="AY17" s="13">
        <f t="shared" si="10"/>
        <v>40</v>
      </c>
      <c r="AZ17" s="62">
        <f>15+20</f>
        <v>35</v>
      </c>
      <c r="BA17" s="143">
        <f>6+25</f>
        <v>31</v>
      </c>
      <c r="BB17" s="13">
        <f t="shared" si="11"/>
        <v>44</v>
      </c>
      <c r="BC17" s="62">
        <f>10+40</f>
        <v>50</v>
      </c>
      <c r="BD17" s="143">
        <f>4+40</f>
        <v>44</v>
      </c>
      <c r="BE17" s="13">
        <f t="shared" si="12"/>
        <v>50</v>
      </c>
      <c r="BF17" s="184">
        <f>-7+15+10</f>
        <v>18</v>
      </c>
      <c r="BG17" s="143">
        <f>3+47</f>
        <v>50</v>
      </c>
      <c r="BH17" s="13">
        <f t="shared" si="13"/>
        <v>18</v>
      </c>
      <c r="BI17" s="184"/>
      <c r="BJ17" s="143"/>
      <c r="BK17" s="13">
        <f t="shared" si="14"/>
        <v>18</v>
      </c>
      <c r="BL17" s="62">
        <f>-4+15+20+15</f>
        <v>46</v>
      </c>
      <c r="BM17" s="143">
        <f>2+16</f>
        <v>18</v>
      </c>
      <c r="BN17" s="13">
        <f t="shared" si="15"/>
        <v>46</v>
      </c>
      <c r="BO17" s="62">
        <f>15+20</f>
        <v>35</v>
      </c>
      <c r="BP17" s="143">
        <f>4+37</f>
        <v>41</v>
      </c>
      <c r="BQ17" s="13">
        <f t="shared" si="16"/>
        <v>40</v>
      </c>
      <c r="BR17" s="62"/>
      <c r="BS17" s="143"/>
      <c r="BT17" s="13">
        <f t="shared" si="17"/>
        <v>40</v>
      </c>
      <c r="BU17" s="62">
        <f>15+15</f>
        <v>30</v>
      </c>
      <c r="BV17" s="143">
        <f>3+28</f>
        <v>31</v>
      </c>
      <c r="BW17" s="13">
        <f t="shared" si="18"/>
        <v>39</v>
      </c>
      <c r="BX17" s="62">
        <f>15+10+40</f>
        <v>65</v>
      </c>
      <c r="BY17" s="143">
        <f>35</f>
        <v>35</v>
      </c>
      <c r="BZ17" s="13">
        <f t="shared" si="19"/>
        <v>69</v>
      </c>
      <c r="CA17" s="62">
        <f>-9+15+15+20</f>
        <v>41</v>
      </c>
      <c r="CB17" s="143">
        <f>8+61</f>
        <v>69</v>
      </c>
      <c r="CC17" s="13">
        <f t="shared" si="20"/>
        <v>41</v>
      </c>
      <c r="CD17" s="62"/>
      <c r="CE17" s="143"/>
      <c r="CF17" s="13">
        <f t="shared" si="21"/>
        <v>41</v>
      </c>
      <c r="CG17" s="62">
        <f>15+15+10</f>
        <v>40</v>
      </c>
      <c r="CH17" s="143">
        <f>4+27</f>
        <v>31</v>
      </c>
      <c r="CI17" s="13">
        <f t="shared" si="31"/>
        <v>50</v>
      </c>
      <c r="CJ17" s="62">
        <v>15</v>
      </c>
      <c r="CK17" s="143">
        <f>6+30</f>
        <v>36</v>
      </c>
      <c r="CL17" s="13">
        <f t="shared" si="32"/>
        <v>29</v>
      </c>
      <c r="CM17" s="62"/>
      <c r="CN17" s="143"/>
      <c r="CO17" s="13">
        <f t="shared" si="22"/>
        <v>29</v>
      </c>
      <c r="CP17" s="62">
        <f>5+15</f>
        <v>20</v>
      </c>
      <c r="CQ17" s="143">
        <v>23</v>
      </c>
      <c r="CR17" s="13">
        <f t="shared" si="33"/>
        <v>26</v>
      </c>
      <c r="CS17" s="61">
        <v>15</v>
      </c>
      <c r="CT17" s="143">
        <f>25</f>
        <v>25</v>
      </c>
      <c r="CU17" s="14">
        <f t="shared" si="23"/>
        <v>16</v>
      </c>
      <c r="CV17" s="5">
        <f t="shared" si="24"/>
        <v>660</v>
      </c>
      <c r="CW17" s="4">
        <f t="shared" si="24"/>
        <v>758</v>
      </c>
      <c r="CX17" s="6">
        <f t="shared" si="25"/>
        <v>16</v>
      </c>
      <c r="CY17" s="162">
        <v>200</v>
      </c>
      <c r="CZ17" s="171">
        <f t="shared" si="26"/>
        <v>3200</v>
      </c>
      <c r="DB17" s="2">
        <f t="shared" si="34"/>
        <v>16</v>
      </c>
      <c r="DC17" s="61"/>
      <c r="DD17" s="143"/>
      <c r="DE17" s="149">
        <f t="shared" si="35"/>
        <v>16</v>
      </c>
    </row>
    <row r="18" spans="1:109" ht="15.75" customHeight="1">
      <c r="A18" s="33" t="s">
        <v>48</v>
      </c>
      <c r="B18" s="3" t="s">
        <v>49</v>
      </c>
      <c r="C18" s="104" t="s">
        <v>50</v>
      </c>
      <c r="D18" s="34"/>
      <c r="E18" s="9" t="s">
        <v>51</v>
      </c>
      <c r="F18" s="14">
        <v>1.299999999999998</v>
      </c>
      <c r="G18" s="62"/>
      <c r="H18" s="143"/>
      <c r="I18" s="13">
        <f t="shared" si="0"/>
        <v>1.299999999999998</v>
      </c>
      <c r="J18" s="62"/>
      <c r="K18" s="143"/>
      <c r="L18" s="13">
        <f t="shared" si="1"/>
        <v>1.299999999999998</v>
      </c>
      <c r="M18" s="61">
        <v>4</v>
      </c>
      <c r="N18" s="143">
        <f>0.5</f>
        <v>0.5</v>
      </c>
      <c r="O18" s="13">
        <f t="shared" si="2"/>
        <v>4.799999999999998</v>
      </c>
      <c r="P18" s="62"/>
      <c r="Q18" s="143"/>
      <c r="R18" s="30">
        <f t="shared" si="3"/>
        <v>4.799999999999998</v>
      </c>
      <c r="S18" s="61"/>
      <c r="T18" s="143">
        <f>0.5+3.2</f>
        <v>3.7</v>
      </c>
      <c r="U18" s="13">
        <f t="shared" si="4"/>
        <v>1.0999999999999979</v>
      </c>
      <c r="V18" s="62"/>
      <c r="W18" s="143"/>
      <c r="X18" s="13">
        <f t="shared" si="5"/>
        <v>1.0999999999999979</v>
      </c>
      <c r="Y18" s="62">
        <v>5.5</v>
      </c>
      <c r="Z18" s="143">
        <f>1.6+2.3+1.8</f>
        <v>5.7</v>
      </c>
      <c r="AA18" s="13">
        <f t="shared" si="27"/>
        <v>0.89999999999999769</v>
      </c>
      <c r="AB18" s="62"/>
      <c r="AC18" s="143"/>
      <c r="AD18" s="13">
        <f t="shared" si="28"/>
        <v>0.89999999999999769</v>
      </c>
      <c r="AE18" s="62">
        <v>4</v>
      </c>
      <c r="AF18" s="143">
        <f>1</f>
        <v>1</v>
      </c>
      <c r="AG18" s="13">
        <f t="shared" si="29"/>
        <v>3.8999999999999977</v>
      </c>
      <c r="AH18" s="62"/>
      <c r="AI18" s="143"/>
      <c r="AJ18" s="13">
        <f t="shared" si="30"/>
        <v>3.8999999999999977</v>
      </c>
      <c r="AK18" s="62">
        <v>4</v>
      </c>
      <c r="AL18" s="143">
        <f>6.2</f>
        <v>6.2</v>
      </c>
      <c r="AM18" s="13">
        <f t="shared" si="6"/>
        <v>1.6999999999999975</v>
      </c>
      <c r="AN18" s="62"/>
      <c r="AO18" s="143"/>
      <c r="AP18" s="13">
        <f t="shared" si="7"/>
        <v>1.6999999999999975</v>
      </c>
      <c r="AQ18" s="62"/>
      <c r="AR18" s="143"/>
      <c r="AS18" s="13">
        <f t="shared" si="8"/>
        <v>1.6999999999999975</v>
      </c>
      <c r="AT18" s="62">
        <f>12+2.5</f>
        <v>14.5</v>
      </c>
      <c r="AU18" s="143">
        <f>5+5.8+2.8</f>
        <v>13.600000000000001</v>
      </c>
      <c r="AV18" s="13">
        <f t="shared" si="9"/>
        <v>2.5999999999999943</v>
      </c>
      <c r="AW18" s="62"/>
      <c r="AX18" s="143"/>
      <c r="AY18" s="13">
        <f t="shared" si="10"/>
        <v>2.5999999999999943</v>
      </c>
      <c r="AZ18" s="62"/>
      <c r="BA18" s="143">
        <f>0.5</f>
        <v>0.5</v>
      </c>
      <c r="BB18" s="13">
        <f t="shared" si="11"/>
        <v>2.0999999999999943</v>
      </c>
      <c r="BC18" s="62">
        <v>8</v>
      </c>
      <c r="BD18" s="143">
        <f>2</f>
        <v>2</v>
      </c>
      <c r="BE18" s="13">
        <f t="shared" si="12"/>
        <v>8.0999999999999943</v>
      </c>
      <c r="BF18" s="62">
        <v>8</v>
      </c>
      <c r="BG18" s="143">
        <f>5.7+4.3</f>
        <v>10</v>
      </c>
      <c r="BH18" s="13">
        <f t="shared" si="13"/>
        <v>6.0999999999999943</v>
      </c>
      <c r="BI18" s="184"/>
      <c r="BJ18" s="143"/>
      <c r="BK18" s="13">
        <f t="shared" si="14"/>
        <v>6.0999999999999943</v>
      </c>
      <c r="BL18" s="62">
        <v>5</v>
      </c>
      <c r="BM18" s="143">
        <f>2.4</f>
        <v>2.4</v>
      </c>
      <c r="BN18" s="13">
        <f t="shared" si="15"/>
        <v>8.699999999999994</v>
      </c>
      <c r="BO18" s="62">
        <v>4</v>
      </c>
      <c r="BP18" s="143">
        <f>5+2+1.4</f>
        <v>8.4</v>
      </c>
      <c r="BQ18" s="13">
        <f t="shared" si="16"/>
        <v>4.2999999999999936</v>
      </c>
      <c r="BR18" s="62"/>
      <c r="BS18" s="143"/>
      <c r="BT18" s="13">
        <f t="shared" si="17"/>
        <v>4.2999999999999936</v>
      </c>
      <c r="BU18" s="62">
        <v>1</v>
      </c>
      <c r="BV18" s="143">
        <f>1</f>
        <v>1</v>
      </c>
      <c r="BW18" s="13">
        <f t="shared" si="18"/>
        <v>4.2999999999999936</v>
      </c>
      <c r="BX18" s="62">
        <v>6</v>
      </c>
      <c r="BY18" s="143">
        <f>1.3+1.8</f>
        <v>3.1</v>
      </c>
      <c r="BZ18" s="13">
        <f t="shared" si="19"/>
        <v>7.199999999999994</v>
      </c>
      <c r="CA18" s="62">
        <v>4</v>
      </c>
      <c r="CB18" s="143">
        <f>4.6+1.9</f>
        <v>6.5</v>
      </c>
      <c r="CC18" s="13">
        <f t="shared" si="20"/>
        <v>4.699999999999994</v>
      </c>
      <c r="CD18" s="62"/>
      <c r="CE18" s="143"/>
      <c r="CF18" s="13">
        <f t="shared" si="21"/>
        <v>4.699999999999994</v>
      </c>
      <c r="CG18" s="61">
        <v>8</v>
      </c>
      <c r="CH18" s="143">
        <f>6+2</f>
        <v>8</v>
      </c>
      <c r="CI18" s="13">
        <f t="shared" si="31"/>
        <v>4.699999999999994</v>
      </c>
      <c r="CJ18" s="62">
        <f>4+1.5</f>
        <v>5.5</v>
      </c>
      <c r="CK18" s="143">
        <f>5+2.6+1.4</f>
        <v>9</v>
      </c>
      <c r="CL18" s="13">
        <f t="shared" si="32"/>
        <v>1.199999999999994</v>
      </c>
      <c r="CM18" s="62"/>
      <c r="CN18" s="143"/>
      <c r="CO18" s="13">
        <f t="shared" si="22"/>
        <v>1.199999999999994</v>
      </c>
      <c r="CP18" s="62"/>
      <c r="CQ18" s="143"/>
      <c r="CR18" s="13">
        <f t="shared" si="33"/>
        <v>1.199999999999994</v>
      </c>
      <c r="CS18" s="61"/>
      <c r="CT18" s="143"/>
      <c r="CU18" s="14">
        <f t="shared" si="23"/>
        <v>1.199999999999994</v>
      </c>
      <c r="CV18" s="5">
        <f t="shared" si="24"/>
        <v>81.5</v>
      </c>
      <c r="CW18" s="4">
        <f t="shared" si="24"/>
        <v>81.599999999999994</v>
      </c>
      <c r="CX18" s="6">
        <f t="shared" si="25"/>
        <v>1.199999999999994</v>
      </c>
      <c r="CY18" s="162">
        <v>450</v>
      </c>
      <c r="CZ18" s="171">
        <f t="shared" si="26"/>
        <v>539.99999999999727</v>
      </c>
      <c r="DB18" s="2">
        <f t="shared" si="34"/>
        <v>1.199999999999994</v>
      </c>
      <c r="DC18" s="61"/>
      <c r="DD18" s="143"/>
      <c r="DE18" s="149">
        <f t="shared" si="35"/>
        <v>1.199999999999994</v>
      </c>
    </row>
    <row r="19" spans="1:109" ht="15.75" customHeight="1">
      <c r="A19" s="33" t="s">
        <v>48</v>
      </c>
      <c r="B19" s="3" t="s">
        <v>52</v>
      </c>
      <c r="C19" s="104" t="s">
        <v>50</v>
      </c>
      <c r="D19" s="34"/>
      <c r="E19" s="9" t="s">
        <v>51</v>
      </c>
      <c r="F19" s="14">
        <v>0.79999999999999893</v>
      </c>
      <c r="G19" s="62"/>
      <c r="H19" s="143"/>
      <c r="I19" s="13">
        <f t="shared" si="0"/>
        <v>0.79999999999999893</v>
      </c>
      <c r="J19" s="62"/>
      <c r="K19" s="143"/>
      <c r="L19" s="13">
        <f t="shared" si="1"/>
        <v>0.79999999999999893</v>
      </c>
      <c r="M19" s="61">
        <v>4</v>
      </c>
      <c r="N19" s="143"/>
      <c r="O19" s="13">
        <f t="shared" si="2"/>
        <v>4.7999999999999989</v>
      </c>
      <c r="P19" s="62"/>
      <c r="Q19" s="143"/>
      <c r="R19" s="30">
        <f t="shared" si="3"/>
        <v>4.7999999999999989</v>
      </c>
      <c r="S19" s="61"/>
      <c r="T19" s="143">
        <v>3.5</v>
      </c>
      <c r="U19" s="13">
        <f t="shared" si="4"/>
        <v>1.2999999999999989</v>
      </c>
      <c r="V19" s="62"/>
      <c r="W19" s="143"/>
      <c r="X19" s="30">
        <f t="shared" si="5"/>
        <v>1.2999999999999989</v>
      </c>
      <c r="Y19" s="62">
        <v>10</v>
      </c>
      <c r="Z19" s="143">
        <f>3.4+3.1</f>
        <v>6.5</v>
      </c>
      <c r="AA19" s="13">
        <f t="shared" si="27"/>
        <v>4.7999999999999989</v>
      </c>
      <c r="AB19" s="62"/>
      <c r="AC19" s="143"/>
      <c r="AD19" s="13">
        <f t="shared" si="28"/>
        <v>4.7999999999999989</v>
      </c>
      <c r="AE19" s="62"/>
      <c r="AF19" s="143"/>
      <c r="AG19" s="13">
        <f t="shared" si="29"/>
        <v>4.7999999999999989</v>
      </c>
      <c r="AH19" s="62"/>
      <c r="AI19" s="143"/>
      <c r="AJ19" s="13">
        <f t="shared" si="30"/>
        <v>4.7999999999999989</v>
      </c>
      <c r="AK19" s="62">
        <v>4</v>
      </c>
      <c r="AL19" s="143">
        <f>3.4</f>
        <v>3.4</v>
      </c>
      <c r="AM19" s="13">
        <f t="shared" si="6"/>
        <v>5.3999999999999986</v>
      </c>
      <c r="AN19" s="62"/>
      <c r="AO19" s="143"/>
      <c r="AP19" s="13">
        <f t="shared" si="7"/>
        <v>5.3999999999999986</v>
      </c>
      <c r="AQ19" s="62"/>
      <c r="AR19" s="143">
        <f>2.6</f>
        <v>2.6</v>
      </c>
      <c r="AS19" s="13">
        <f t="shared" si="8"/>
        <v>2.7999999999999985</v>
      </c>
      <c r="AT19" s="62">
        <f>8+2</f>
        <v>10</v>
      </c>
      <c r="AU19" s="143">
        <f>6.4</f>
        <v>6.4</v>
      </c>
      <c r="AV19" s="13">
        <f t="shared" si="9"/>
        <v>6.3999999999999986</v>
      </c>
      <c r="AW19" s="62"/>
      <c r="AX19" s="143"/>
      <c r="AY19" s="13">
        <f t="shared" si="10"/>
        <v>6.3999999999999986</v>
      </c>
      <c r="AZ19" s="62"/>
      <c r="BA19" s="143"/>
      <c r="BB19" s="13">
        <f t="shared" si="11"/>
        <v>6.3999999999999986</v>
      </c>
      <c r="BC19" s="62">
        <f>4+2</f>
        <v>6</v>
      </c>
      <c r="BD19" s="143">
        <v>8</v>
      </c>
      <c r="BE19" s="13">
        <f t="shared" si="12"/>
        <v>4.3999999999999986</v>
      </c>
      <c r="BF19" s="62"/>
      <c r="BG19" s="143"/>
      <c r="BH19" s="13">
        <f t="shared" si="13"/>
        <v>4.3999999999999986</v>
      </c>
      <c r="BI19" s="184"/>
      <c r="BJ19" s="143"/>
      <c r="BK19" s="13">
        <f t="shared" si="14"/>
        <v>4.3999999999999986</v>
      </c>
      <c r="BL19" s="62">
        <v>0.6</v>
      </c>
      <c r="BM19" s="143"/>
      <c r="BN19" s="13">
        <f t="shared" si="15"/>
        <v>4.9999999999999982</v>
      </c>
      <c r="BO19" s="62"/>
      <c r="BP19" s="143">
        <f>3.4+0.2</f>
        <v>3.6</v>
      </c>
      <c r="BQ19" s="13">
        <f t="shared" si="16"/>
        <v>1.3999999999999981</v>
      </c>
      <c r="BR19" s="62"/>
      <c r="BS19" s="143"/>
      <c r="BT19" s="13">
        <f t="shared" si="17"/>
        <v>1.3999999999999981</v>
      </c>
      <c r="BU19" s="62">
        <v>0.6</v>
      </c>
      <c r="BV19" s="143">
        <f>1.9</f>
        <v>1.9</v>
      </c>
      <c r="BW19" s="13">
        <f t="shared" si="18"/>
        <v>9.9999999999998312E-2</v>
      </c>
      <c r="BX19" s="62">
        <v>4</v>
      </c>
      <c r="BY19" s="143"/>
      <c r="BZ19" s="13">
        <f t="shared" si="19"/>
        <v>4.0999999999999979</v>
      </c>
      <c r="CA19" s="62">
        <v>4</v>
      </c>
      <c r="CB19" s="143">
        <f>3.4</f>
        <v>3.4</v>
      </c>
      <c r="CC19" s="13">
        <f t="shared" si="20"/>
        <v>4.6999999999999975</v>
      </c>
      <c r="CD19" s="62"/>
      <c r="CE19" s="143"/>
      <c r="CF19" s="13">
        <f t="shared" si="21"/>
        <v>4.6999999999999975</v>
      </c>
      <c r="CG19" s="61"/>
      <c r="CH19" s="143"/>
      <c r="CI19" s="13">
        <f t="shared" si="31"/>
        <v>4.6999999999999975</v>
      </c>
      <c r="CJ19" s="62"/>
      <c r="CK19" s="143">
        <f>2</f>
        <v>2</v>
      </c>
      <c r="CL19" s="13">
        <f t="shared" si="32"/>
        <v>2.6999999999999975</v>
      </c>
      <c r="CM19" s="62"/>
      <c r="CN19" s="143"/>
      <c r="CO19" s="13">
        <f t="shared" si="22"/>
        <v>2.6999999999999975</v>
      </c>
      <c r="CP19" s="62"/>
      <c r="CQ19" s="143"/>
      <c r="CR19" s="13">
        <f t="shared" si="33"/>
        <v>2.6999999999999975</v>
      </c>
      <c r="CS19" s="61"/>
      <c r="CT19" s="143"/>
      <c r="CU19" s="14">
        <f t="shared" si="23"/>
        <v>2.6999999999999975</v>
      </c>
      <c r="CV19" s="5">
        <f t="shared" si="24"/>
        <v>43.2</v>
      </c>
      <c r="CW19" s="4">
        <f t="shared" si="24"/>
        <v>41.3</v>
      </c>
      <c r="CX19" s="6">
        <f t="shared" si="25"/>
        <v>2.6999999999999975</v>
      </c>
      <c r="CY19" s="162">
        <v>450</v>
      </c>
      <c r="CZ19" s="171">
        <f t="shared" si="26"/>
        <v>1214.9999999999989</v>
      </c>
      <c r="DB19" s="2">
        <f t="shared" si="34"/>
        <v>2.6999999999999975</v>
      </c>
      <c r="DC19" s="61"/>
      <c r="DD19" s="143"/>
      <c r="DE19" s="149">
        <f t="shared" si="35"/>
        <v>2.6999999999999975</v>
      </c>
    </row>
    <row r="20" spans="1:109" ht="15.75" customHeight="1">
      <c r="A20" s="33"/>
      <c r="B20" s="7" t="s">
        <v>53</v>
      </c>
      <c r="C20" s="105" t="s">
        <v>27</v>
      </c>
      <c r="D20" s="35"/>
      <c r="E20" s="35" t="s">
        <v>27</v>
      </c>
      <c r="F20" s="14">
        <v>0</v>
      </c>
      <c r="G20" s="62"/>
      <c r="H20" s="143"/>
      <c r="I20" s="13">
        <f t="shared" si="0"/>
        <v>0</v>
      </c>
      <c r="J20" s="62"/>
      <c r="K20" s="143"/>
      <c r="L20" s="13">
        <f t="shared" si="1"/>
        <v>0</v>
      </c>
      <c r="M20" s="61"/>
      <c r="N20" s="143"/>
      <c r="O20" s="13">
        <f t="shared" si="2"/>
        <v>0</v>
      </c>
      <c r="P20" s="62"/>
      <c r="Q20" s="143"/>
      <c r="R20" s="30">
        <f t="shared" si="3"/>
        <v>0</v>
      </c>
      <c r="S20" s="61"/>
      <c r="T20" s="143"/>
      <c r="U20" s="13">
        <f t="shared" si="4"/>
        <v>0</v>
      </c>
      <c r="V20" s="62"/>
      <c r="W20" s="143"/>
      <c r="X20" s="13">
        <f t="shared" si="5"/>
        <v>0</v>
      </c>
      <c r="Y20" s="62"/>
      <c r="Z20" s="143"/>
      <c r="AA20" s="13">
        <f t="shared" si="27"/>
        <v>0</v>
      </c>
      <c r="AB20" s="62"/>
      <c r="AC20" s="143"/>
      <c r="AD20" s="13">
        <f t="shared" si="28"/>
        <v>0</v>
      </c>
      <c r="AE20" s="62"/>
      <c r="AF20" s="143"/>
      <c r="AG20" s="13">
        <f t="shared" si="29"/>
        <v>0</v>
      </c>
      <c r="AH20" s="62"/>
      <c r="AI20" s="143"/>
      <c r="AJ20" s="13">
        <f t="shared" si="30"/>
        <v>0</v>
      </c>
      <c r="AK20" s="62"/>
      <c r="AL20" s="143"/>
      <c r="AM20" s="13">
        <f t="shared" si="6"/>
        <v>0</v>
      </c>
      <c r="AN20" s="62"/>
      <c r="AO20" s="143"/>
      <c r="AP20" s="13">
        <f t="shared" si="7"/>
        <v>0</v>
      </c>
      <c r="AQ20" s="62"/>
      <c r="AR20" s="143"/>
      <c r="AS20" s="13">
        <f t="shared" si="8"/>
        <v>0</v>
      </c>
      <c r="AT20" s="62"/>
      <c r="AU20" s="143"/>
      <c r="AV20" s="13">
        <f t="shared" si="9"/>
        <v>0</v>
      </c>
      <c r="AW20" s="62"/>
      <c r="AX20" s="143"/>
      <c r="AY20" s="13">
        <f t="shared" si="10"/>
        <v>0</v>
      </c>
      <c r="AZ20" s="62"/>
      <c r="BA20" s="143"/>
      <c r="BB20" s="13">
        <f t="shared" si="11"/>
        <v>0</v>
      </c>
      <c r="BC20" s="62"/>
      <c r="BD20" s="143"/>
      <c r="BE20" s="13">
        <f t="shared" si="12"/>
        <v>0</v>
      </c>
      <c r="BF20" s="62"/>
      <c r="BG20" s="143"/>
      <c r="BH20" s="13">
        <f t="shared" si="13"/>
        <v>0</v>
      </c>
      <c r="BI20" s="184"/>
      <c r="BJ20" s="143"/>
      <c r="BK20" s="13">
        <f t="shared" si="14"/>
        <v>0</v>
      </c>
      <c r="BL20" s="62"/>
      <c r="BM20" s="143"/>
      <c r="BN20" s="13">
        <f t="shared" si="15"/>
        <v>0</v>
      </c>
      <c r="BO20" s="62"/>
      <c r="BP20" s="143"/>
      <c r="BQ20" s="13">
        <f t="shared" si="16"/>
        <v>0</v>
      </c>
      <c r="BR20" s="62"/>
      <c r="BS20" s="143"/>
      <c r="BT20" s="13">
        <f t="shared" si="17"/>
        <v>0</v>
      </c>
      <c r="BU20" s="62"/>
      <c r="BV20" s="143"/>
      <c r="BW20" s="13">
        <f t="shared" si="18"/>
        <v>0</v>
      </c>
      <c r="BX20" s="62"/>
      <c r="BY20" s="143"/>
      <c r="BZ20" s="13">
        <f t="shared" si="19"/>
        <v>0</v>
      </c>
      <c r="CA20" s="62"/>
      <c r="CB20" s="143"/>
      <c r="CC20" s="13">
        <f t="shared" si="20"/>
        <v>0</v>
      </c>
      <c r="CD20" s="62"/>
      <c r="CE20" s="143"/>
      <c r="CF20" s="13">
        <f t="shared" si="21"/>
        <v>0</v>
      </c>
      <c r="CG20" s="62"/>
      <c r="CH20" s="143"/>
      <c r="CI20" s="13">
        <f t="shared" si="31"/>
        <v>0</v>
      </c>
      <c r="CJ20" s="62"/>
      <c r="CK20" s="143"/>
      <c r="CL20" s="13">
        <f t="shared" si="32"/>
        <v>0</v>
      </c>
      <c r="CM20" s="62"/>
      <c r="CN20" s="143"/>
      <c r="CO20" s="13">
        <f t="shared" si="22"/>
        <v>0</v>
      </c>
      <c r="CP20" s="62"/>
      <c r="CQ20" s="143"/>
      <c r="CR20" s="13">
        <f t="shared" si="33"/>
        <v>0</v>
      </c>
      <c r="CS20" s="61"/>
      <c r="CT20" s="143"/>
      <c r="CU20" s="14">
        <f t="shared" si="23"/>
        <v>0</v>
      </c>
      <c r="CV20" s="5">
        <f t="shared" si="24"/>
        <v>0</v>
      </c>
      <c r="CW20" s="4">
        <f t="shared" si="24"/>
        <v>0</v>
      </c>
      <c r="CX20" s="6">
        <f t="shared" si="25"/>
        <v>0</v>
      </c>
      <c r="CY20" s="162">
        <v>0</v>
      </c>
      <c r="CZ20" s="171">
        <f t="shared" si="26"/>
        <v>0</v>
      </c>
      <c r="DB20" s="2">
        <f t="shared" si="34"/>
        <v>0</v>
      </c>
      <c r="DC20" s="61"/>
      <c r="DD20" s="143"/>
      <c r="DE20" s="149">
        <f t="shared" si="35"/>
        <v>0</v>
      </c>
    </row>
    <row r="21" spans="1:109" ht="15.75" customHeight="1">
      <c r="A21" s="33"/>
      <c r="B21" s="3" t="s">
        <v>240</v>
      </c>
      <c r="C21" s="104" t="s">
        <v>27</v>
      </c>
      <c r="D21" s="34"/>
      <c r="E21" s="34" t="s">
        <v>27</v>
      </c>
      <c r="F21" s="14">
        <v>0</v>
      </c>
      <c r="G21" s="62"/>
      <c r="H21" s="143"/>
      <c r="I21" s="13">
        <f t="shared" si="0"/>
        <v>0</v>
      </c>
      <c r="J21" s="62"/>
      <c r="K21" s="143"/>
      <c r="L21" s="13">
        <f t="shared" si="1"/>
        <v>0</v>
      </c>
      <c r="M21" s="61"/>
      <c r="N21" s="143"/>
      <c r="O21" s="13">
        <f t="shared" si="2"/>
        <v>0</v>
      </c>
      <c r="P21" s="62"/>
      <c r="Q21" s="143"/>
      <c r="R21" s="30">
        <f t="shared" si="3"/>
        <v>0</v>
      </c>
      <c r="S21" s="61"/>
      <c r="T21" s="143"/>
      <c r="U21" s="13">
        <f t="shared" si="4"/>
        <v>0</v>
      </c>
      <c r="V21" s="62"/>
      <c r="W21" s="143"/>
      <c r="X21" s="13">
        <f t="shared" si="5"/>
        <v>0</v>
      </c>
      <c r="Y21" s="62"/>
      <c r="Z21" s="143"/>
      <c r="AA21" s="13">
        <f t="shared" si="27"/>
        <v>0</v>
      </c>
      <c r="AB21" s="62"/>
      <c r="AC21" s="143"/>
      <c r="AD21" s="13">
        <f t="shared" si="28"/>
        <v>0</v>
      </c>
      <c r="AE21" s="62"/>
      <c r="AF21" s="143"/>
      <c r="AG21" s="13">
        <f t="shared" si="29"/>
        <v>0</v>
      </c>
      <c r="AH21" s="62"/>
      <c r="AI21" s="143"/>
      <c r="AJ21" s="13">
        <f t="shared" si="30"/>
        <v>0</v>
      </c>
      <c r="AK21" s="62"/>
      <c r="AL21" s="143"/>
      <c r="AM21" s="13">
        <f t="shared" si="6"/>
        <v>0</v>
      </c>
      <c r="AN21" s="62"/>
      <c r="AO21" s="143"/>
      <c r="AP21" s="13">
        <f t="shared" si="7"/>
        <v>0</v>
      </c>
      <c r="AQ21" s="62"/>
      <c r="AR21" s="143"/>
      <c r="AS21" s="13">
        <f t="shared" si="8"/>
        <v>0</v>
      </c>
      <c r="AT21" s="62"/>
      <c r="AU21" s="143"/>
      <c r="AV21" s="13">
        <f t="shared" si="9"/>
        <v>0</v>
      </c>
      <c r="AW21" s="62"/>
      <c r="AX21" s="143"/>
      <c r="AY21" s="13">
        <f t="shared" si="10"/>
        <v>0</v>
      </c>
      <c r="AZ21" s="62"/>
      <c r="BA21" s="143"/>
      <c r="BB21" s="13">
        <f t="shared" si="11"/>
        <v>0</v>
      </c>
      <c r="BC21" s="62"/>
      <c r="BD21" s="143"/>
      <c r="BE21" s="13">
        <f t="shared" si="12"/>
        <v>0</v>
      </c>
      <c r="BF21" s="62"/>
      <c r="BG21" s="143"/>
      <c r="BH21" s="13">
        <f t="shared" si="13"/>
        <v>0</v>
      </c>
      <c r="BI21" s="184"/>
      <c r="BJ21" s="143"/>
      <c r="BK21" s="13">
        <f t="shared" si="14"/>
        <v>0</v>
      </c>
      <c r="BL21" s="62"/>
      <c r="BM21" s="143"/>
      <c r="BN21" s="13">
        <f t="shared" si="15"/>
        <v>0</v>
      </c>
      <c r="BO21" s="62"/>
      <c r="BP21" s="143"/>
      <c r="BQ21" s="13">
        <f t="shared" si="16"/>
        <v>0</v>
      </c>
      <c r="BR21" s="62"/>
      <c r="BS21" s="143"/>
      <c r="BT21" s="13">
        <f t="shared" si="17"/>
        <v>0</v>
      </c>
      <c r="BU21" s="62"/>
      <c r="BV21" s="143"/>
      <c r="BW21" s="13">
        <f t="shared" si="18"/>
        <v>0</v>
      </c>
      <c r="BX21" s="62"/>
      <c r="BY21" s="143"/>
      <c r="BZ21" s="13">
        <f t="shared" si="19"/>
        <v>0</v>
      </c>
      <c r="CA21" s="62"/>
      <c r="CB21" s="143"/>
      <c r="CC21" s="13">
        <f t="shared" si="20"/>
        <v>0</v>
      </c>
      <c r="CD21" s="62"/>
      <c r="CE21" s="143"/>
      <c r="CF21" s="13">
        <f t="shared" si="21"/>
        <v>0</v>
      </c>
      <c r="CG21" s="62"/>
      <c r="CH21" s="143"/>
      <c r="CI21" s="13">
        <f t="shared" si="31"/>
        <v>0</v>
      </c>
      <c r="CJ21" s="62"/>
      <c r="CK21" s="143"/>
      <c r="CL21" s="13">
        <f t="shared" si="32"/>
        <v>0</v>
      </c>
      <c r="CM21" s="62"/>
      <c r="CN21" s="143"/>
      <c r="CO21" s="13">
        <f t="shared" si="22"/>
        <v>0</v>
      </c>
      <c r="CP21" s="62"/>
      <c r="CQ21" s="143"/>
      <c r="CR21" s="13">
        <f t="shared" si="33"/>
        <v>0</v>
      </c>
      <c r="CS21" s="61"/>
      <c r="CT21" s="143"/>
      <c r="CU21" s="14">
        <f t="shared" si="23"/>
        <v>0</v>
      </c>
      <c r="CV21" s="5">
        <f t="shared" si="24"/>
        <v>0</v>
      </c>
      <c r="CW21" s="4">
        <f t="shared" si="24"/>
        <v>0</v>
      </c>
      <c r="CX21" s="6">
        <f t="shared" si="25"/>
        <v>0</v>
      </c>
      <c r="CY21" s="162">
        <v>0</v>
      </c>
      <c r="CZ21" s="171">
        <f t="shared" si="26"/>
        <v>0</v>
      </c>
      <c r="DB21" s="2">
        <f t="shared" si="34"/>
        <v>0</v>
      </c>
      <c r="DC21" s="61"/>
      <c r="DD21" s="143"/>
      <c r="DE21" s="149">
        <f t="shared" si="35"/>
        <v>0</v>
      </c>
    </row>
    <row r="22" spans="1:109" ht="15.75" customHeight="1">
      <c r="A22" s="33" t="s">
        <v>54</v>
      </c>
      <c r="B22" s="55" t="s">
        <v>55</v>
      </c>
      <c r="C22" s="104" t="s">
        <v>50</v>
      </c>
      <c r="D22" s="34">
        <v>5</v>
      </c>
      <c r="E22" s="34" t="s">
        <v>41</v>
      </c>
      <c r="F22" s="14">
        <v>8.7000000000000011</v>
      </c>
      <c r="G22" s="62"/>
      <c r="H22" s="143"/>
      <c r="I22" s="13">
        <f t="shared" si="0"/>
        <v>8.7000000000000011</v>
      </c>
      <c r="J22" s="62"/>
      <c r="K22" s="143"/>
      <c r="L22" s="13">
        <f t="shared" si="1"/>
        <v>8.7000000000000011</v>
      </c>
      <c r="M22" s="61"/>
      <c r="N22" s="143">
        <f>1</f>
        <v>1</v>
      </c>
      <c r="O22" s="13">
        <f t="shared" si="2"/>
        <v>7.7000000000000011</v>
      </c>
      <c r="P22" s="62"/>
      <c r="Q22" s="143"/>
      <c r="R22" s="30">
        <f t="shared" si="3"/>
        <v>7.7000000000000011</v>
      </c>
      <c r="S22" s="61"/>
      <c r="T22" s="143">
        <v>3.1</v>
      </c>
      <c r="U22" s="13">
        <f t="shared" si="4"/>
        <v>4.6000000000000014</v>
      </c>
      <c r="V22" s="62">
        <v>10</v>
      </c>
      <c r="W22" s="143">
        <f>2.7</f>
        <v>2.7</v>
      </c>
      <c r="X22" s="13">
        <f t="shared" si="5"/>
        <v>11.900000000000002</v>
      </c>
      <c r="Y22" s="62"/>
      <c r="Z22" s="143">
        <f>0.9+3.4+3.5</f>
        <v>7.8</v>
      </c>
      <c r="AA22" s="13">
        <f t="shared" si="27"/>
        <v>4.1000000000000023</v>
      </c>
      <c r="AB22" s="62"/>
      <c r="AC22" s="143"/>
      <c r="AD22" s="13">
        <f t="shared" si="28"/>
        <v>4.1000000000000023</v>
      </c>
      <c r="AE22" s="62"/>
      <c r="AF22" s="143">
        <f>0.2+0.4</f>
        <v>0.60000000000000009</v>
      </c>
      <c r="AG22" s="13">
        <f t="shared" si="29"/>
        <v>3.5000000000000022</v>
      </c>
      <c r="AH22" s="62"/>
      <c r="AI22" s="143"/>
      <c r="AJ22" s="13">
        <f t="shared" si="30"/>
        <v>3.5000000000000022</v>
      </c>
      <c r="AK22" s="62"/>
      <c r="AL22" s="143">
        <v>2.7</v>
      </c>
      <c r="AM22" s="13">
        <f t="shared" si="6"/>
        <v>0.80000000000000204</v>
      </c>
      <c r="AN22" s="62"/>
      <c r="AO22" s="143"/>
      <c r="AP22" s="13">
        <f t="shared" si="7"/>
        <v>0.80000000000000204</v>
      </c>
      <c r="AQ22" s="62"/>
      <c r="AR22" s="143"/>
      <c r="AS22" s="13">
        <f t="shared" si="8"/>
        <v>0.80000000000000204</v>
      </c>
      <c r="AT22" s="62">
        <v>10</v>
      </c>
      <c r="AU22" s="143">
        <f>2+3.4</f>
        <v>5.4</v>
      </c>
      <c r="AV22" s="13">
        <f t="shared" si="9"/>
        <v>5.4000000000000021</v>
      </c>
      <c r="AW22" s="62"/>
      <c r="AX22" s="143"/>
      <c r="AY22" s="13">
        <f t="shared" si="10"/>
        <v>5.4000000000000021</v>
      </c>
      <c r="AZ22" s="62">
        <v>10</v>
      </c>
      <c r="BA22" s="143">
        <f>1+0.7</f>
        <v>1.7</v>
      </c>
      <c r="BB22" s="13">
        <f t="shared" si="11"/>
        <v>13.700000000000003</v>
      </c>
      <c r="BC22" s="62"/>
      <c r="BD22" s="143"/>
      <c r="BE22" s="13">
        <f t="shared" si="12"/>
        <v>13.700000000000003</v>
      </c>
      <c r="BF22" s="62">
        <v>-1.1000000000000001</v>
      </c>
      <c r="BG22" s="143"/>
      <c r="BH22" s="13">
        <f t="shared" si="13"/>
        <v>12.600000000000003</v>
      </c>
      <c r="BI22" s="184"/>
      <c r="BJ22" s="143"/>
      <c r="BK22" s="13">
        <f t="shared" si="14"/>
        <v>12.600000000000003</v>
      </c>
      <c r="BL22" s="62">
        <v>10</v>
      </c>
      <c r="BM22" s="143">
        <f>2.7+10</f>
        <v>12.7</v>
      </c>
      <c r="BN22" s="13">
        <f t="shared" si="15"/>
        <v>9.9000000000000021</v>
      </c>
      <c r="BO22" s="62"/>
      <c r="BP22" s="143">
        <f>0.9+3.4+3.5</f>
        <v>7.8</v>
      </c>
      <c r="BQ22" s="13">
        <f t="shared" si="16"/>
        <v>2.1000000000000023</v>
      </c>
      <c r="BR22" s="62"/>
      <c r="BS22" s="143"/>
      <c r="BT22" s="13">
        <f t="shared" si="17"/>
        <v>2.1000000000000023</v>
      </c>
      <c r="BU22" s="62">
        <v>10</v>
      </c>
      <c r="BV22" s="143">
        <f>0.6+0.4</f>
        <v>1</v>
      </c>
      <c r="BW22" s="13">
        <f t="shared" si="18"/>
        <v>11.100000000000001</v>
      </c>
      <c r="BX22" s="62">
        <v>-0.6</v>
      </c>
      <c r="BY22" s="143">
        <v>5.6</v>
      </c>
      <c r="BZ22" s="13">
        <f t="shared" si="19"/>
        <v>4.9000000000000021</v>
      </c>
      <c r="CA22" s="62">
        <v>10</v>
      </c>
      <c r="CB22" s="143">
        <f>2.5+2.4+0.2</f>
        <v>5.1000000000000005</v>
      </c>
      <c r="CC22" s="13">
        <f t="shared" si="20"/>
        <v>9.8000000000000007</v>
      </c>
      <c r="CD22" s="62"/>
      <c r="CE22" s="143"/>
      <c r="CF22" s="13">
        <f t="shared" si="21"/>
        <v>9.8000000000000007</v>
      </c>
      <c r="CG22" s="62"/>
      <c r="CH22" s="143"/>
      <c r="CI22" s="13">
        <f t="shared" si="31"/>
        <v>9.8000000000000007</v>
      </c>
      <c r="CJ22" s="62"/>
      <c r="CK22" s="143">
        <f>1.8+3</f>
        <v>4.8</v>
      </c>
      <c r="CL22" s="13">
        <f t="shared" si="32"/>
        <v>5.0000000000000009</v>
      </c>
      <c r="CM22" s="62"/>
      <c r="CN22" s="143"/>
      <c r="CO22" s="13">
        <f t="shared" si="22"/>
        <v>5.0000000000000009</v>
      </c>
      <c r="CP22" s="62"/>
      <c r="CQ22" s="143">
        <f>1.2</f>
        <v>1.2</v>
      </c>
      <c r="CR22" s="13">
        <f t="shared" si="33"/>
        <v>3.8000000000000007</v>
      </c>
      <c r="CS22" s="62"/>
      <c r="CT22" s="143"/>
      <c r="CU22" s="14">
        <f t="shared" si="23"/>
        <v>3.8000000000000007</v>
      </c>
      <c r="CV22" s="5">
        <f t="shared" si="24"/>
        <v>58.3</v>
      </c>
      <c r="CW22" s="4">
        <f t="shared" si="24"/>
        <v>63.199999999999996</v>
      </c>
      <c r="CX22" s="6">
        <f t="shared" si="25"/>
        <v>3.8000000000000007</v>
      </c>
      <c r="CY22" s="162">
        <v>260</v>
      </c>
      <c r="CZ22" s="171">
        <f t="shared" si="26"/>
        <v>988.00000000000023</v>
      </c>
      <c r="DB22" s="2">
        <f t="shared" si="34"/>
        <v>3.8000000000000007</v>
      </c>
      <c r="DC22" s="62"/>
      <c r="DD22" s="143">
        <v>3.6</v>
      </c>
      <c r="DE22" s="149">
        <f t="shared" si="35"/>
        <v>0.20000000000000062</v>
      </c>
    </row>
    <row r="23" spans="1:109" ht="15.75" customHeight="1">
      <c r="A23" s="33"/>
      <c r="B23" s="7" t="s">
        <v>56</v>
      </c>
      <c r="C23" s="105" t="s">
        <v>32</v>
      </c>
      <c r="D23" s="35" t="s">
        <v>57</v>
      </c>
      <c r="E23" s="35" t="s">
        <v>58</v>
      </c>
      <c r="F23" s="14">
        <v>30</v>
      </c>
      <c r="G23" s="62"/>
      <c r="H23" s="143"/>
      <c r="I23" s="13">
        <f t="shared" si="0"/>
        <v>30</v>
      </c>
      <c r="J23" s="62"/>
      <c r="K23" s="143"/>
      <c r="L23" s="13">
        <f t="shared" si="1"/>
        <v>30</v>
      </c>
      <c r="M23" s="61">
        <v>30</v>
      </c>
      <c r="N23" s="143">
        <v>11</v>
      </c>
      <c r="O23" s="13">
        <f t="shared" si="2"/>
        <v>49</v>
      </c>
      <c r="P23" s="62"/>
      <c r="Q23" s="143">
        <f>14</f>
        <v>14</v>
      </c>
      <c r="R23" s="13">
        <f t="shared" si="3"/>
        <v>35</v>
      </c>
      <c r="S23" s="61"/>
      <c r="T23" s="143"/>
      <c r="U23" s="13">
        <f t="shared" si="4"/>
        <v>35</v>
      </c>
      <c r="V23" s="62"/>
      <c r="W23" s="143">
        <f>9+1</f>
        <v>10</v>
      </c>
      <c r="X23" s="13">
        <f t="shared" si="5"/>
        <v>25</v>
      </c>
      <c r="Y23" s="62"/>
      <c r="Z23" s="143">
        <f>8+1+1</f>
        <v>10</v>
      </c>
      <c r="AA23" s="13">
        <f t="shared" si="27"/>
        <v>15</v>
      </c>
      <c r="AB23" s="62"/>
      <c r="AC23" s="143"/>
      <c r="AD23" s="13">
        <f t="shared" si="28"/>
        <v>15</v>
      </c>
      <c r="AE23" s="62">
        <v>30</v>
      </c>
      <c r="AF23" s="143">
        <v>2</v>
      </c>
      <c r="AG23" s="13">
        <f t="shared" si="29"/>
        <v>43</v>
      </c>
      <c r="AH23" s="62"/>
      <c r="AI23" s="143">
        <f>4</f>
        <v>4</v>
      </c>
      <c r="AJ23" s="13">
        <f t="shared" si="30"/>
        <v>39</v>
      </c>
      <c r="AK23" s="62"/>
      <c r="AL23" s="143">
        <v>8</v>
      </c>
      <c r="AM23" s="13">
        <f t="shared" si="6"/>
        <v>31</v>
      </c>
      <c r="AN23" s="62"/>
      <c r="AO23" s="143"/>
      <c r="AP23" s="13">
        <f t="shared" si="7"/>
        <v>31</v>
      </c>
      <c r="AQ23" s="62"/>
      <c r="AR23" s="143">
        <v>6</v>
      </c>
      <c r="AS23" s="13">
        <f t="shared" si="8"/>
        <v>25</v>
      </c>
      <c r="AT23" s="62">
        <v>30</v>
      </c>
      <c r="AU23" s="143">
        <f>9+1+1</f>
        <v>11</v>
      </c>
      <c r="AV23" s="13">
        <f t="shared" si="9"/>
        <v>44</v>
      </c>
      <c r="AW23" s="62"/>
      <c r="AX23" s="143"/>
      <c r="AY23" s="13">
        <f t="shared" si="10"/>
        <v>44</v>
      </c>
      <c r="AZ23" s="62"/>
      <c r="BA23" s="143">
        <v>8</v>
      </c>
      <c r="BB23" s="13">
        <f t="shared" si="11"/>
        <v>36</v>
      </c>
      <c r="BC23" s="62"/>
      <c r="BD23" s="143">
        <v>8</v>
      </c>
      <c r="BE23" s="13">
        <f t="shared" si="12"/>
        <v>28</v>
      </c>
      <c r="BF23" s="62">
        <v>30</v>
      </c>
      <c r="BG23" s="143">
        <v>11</v>
      </c>
      <c r="BH23" s="13">
        <f t="shared" si="13"/>
        <v>47</v>
      </c>
      <c r="BI23" s="184"/>
      <c r="BJ23" s="143"/>
      <c r="BK23" s="13">
        <f t="shared" si="14"/>
        <v>47</v>
      </c>
      <c r="BL23" s="62"/>
      <c r="BM23" s="143">
        <f>6+1</f>
        <v>7</v>
      </c>
      <c r="BN23" s="13">
        <f t="shared" si="15"/>
        <v>40</v>
      </c>
      <c r="BO23" s="62"/>
      <c r="BP23" s="143">
        <v>21</v>
      </c>
      <c r="BQ23" s="13">
        <f t="shared" si="16"/>
        <v>19</v>
      </c>
      <c r="BR23" s="62"/>
      <c r="BS23" s="143"/>
      <c r="BT23" s="13">
        <f t="shared" si="17"/>
        <v>19</v>
      </c>
      <c r="BU23" s="62">
        <v>30</v>
      </c>
      <c r="BV23" s="143">
        <f>8</f>
        <v>8</v>
      </c>
      <c r="BW23" s="13">
        <f t="shared" si="18"/>
        <v>41</v>
      </c>
      <c r="BX23" s="62"/>
      <c r="BY23" s="143">
        <v>11</v>
      </c>
      <c r="BZ23" s="13">
        <f t="shared" si="19"/>
        <v>30</v>
      </c>
      <c r="CA23" s="62"/>
      <c r="CB23" s="143">
        <f>9</f>
        <v>9</v>
      </c>
      <c r="CC23" s="13">
        <f t="shared" si="20"/>
        <v>21</v>
      </c>
      <c r="CD23" s="62"/>
      <c r="CE23" s="143"/>
      <c r="CF23" s="13">
        <f t="shared" si="21"/>
        <v>21</v>
      </c>
      <c r="CG23" s="62">
        <v>30</v>
      </c>
      <c r="CH23" s="143">
        <v>9</v>
      </c>
      <c r="CI23" s="13">
        <f t="shared" si="31"/>
        <v>42</v>
      </c>
      <c r="CJ23" s="62"/>
      <c r="CK23" s="143">
        <v>18</v>
      </c>
      <c r="CL23" s="13">
        <f t="shared" si="32"/>
        <v>24</v>
      </c>
      <c r="CM23" s="62"/>
      <c r="CN23" s="143"/>
      <c r="CO23" s="13">
        <f t="shared" si="22"/>
        <v>24</v>
      </c>
      <c r="CP23" s="62"/>
      <c r="CQ23" s="143">
        <f>4+1</f>
        <v>5</v>
      </c>
      <c r="CR23" s="13">
        <f t="shared" si="33"/>
        <v>19</v>
      </c>
      <c r="CS23" s="61"/>
      <c r="CT23" s="143">
        <v>3</v>
      </c>
      <c r="CU23" s="14">
        <f t="shared" si="23"/>
        <v>16</v>
      </c>
      <c r="CV23" s="5">
        <f t="shared" si="24"/>
        <v>180</v>
      </c>
      <c r="CW23" s="4">
        <f t="shared" si="24"/>
        <v>194</v>
      </c>
      <c r="CX23" s="6">
        <f t="shared" si="25"/>
        <v>16</v>
      </c>
      <c r="CY23" s="162">
        <v>235</v>
      </c>
      <c r="CZ23" s="171">
        <f t="shared" si="26"/>
        <v>3760</v>
      </c>
      <c r="DB23" s="2">
        <f t="shared" si="34"/>
        <v>16</v>
      </c>
      <c r="DC23" s="61"/>
      <c r="DD23" s="143"/>
      <c r="DE23" s="149">
        <f t="shared" si="35"/>
        <v>16</v>
      </c>
    </row>
    <row r="24" spans="1:109" ht="15.75" customHeight="1">
      <c r="A24" s="33" t="s">
        <v>59</v>
      </c>
      <c r="B24" s="3" t="s">
        <v>60</v>
      </c>
      <c r="C24" s="104" t="s">
        <v>25</v>
      </c>
      <c r="D24" s="34"/>
      <c r="E24" s="34" t="s">
        <v>61</v>
      </c>
      <c r="F24" s="14">
        <v>9</v>
      </c>
      <c r="G24" s="62"/>
      <c r="H24" s="143"/>
      <c r="I24" s="13">
        <f t="shared" si="0"/>
        <v>9</v>
      </c>
      <c r="J24" s="62"/>
      <c r="K24" s="143"/>
      <c r="L24" s="13">
        <f t="shared" si="1"/>
        <v>9</v>
      </c>
      <c r="M24" s="61"/>
      <c r="N24" s="143"/>
      <c r="O24" s="13">
        <f t="shared" si="2"/>
        <v>9</v>
      </c>
      <c r="P24" s="62"/>
      <c r="Q24" s="143"/>
      <c r="R24" s="30">
        <f t="shared" si="3"/>
        <v>9</v>
      </c>
      <c r="S24" s="183">
        <v>-2</v>
      </c>
      <c r="T24" s="143">
        <f>3</f>
        <v>3</v>
      </c>
      <c r="U24" s="13">
        <f t="shared" si="4"/>
        <v>4</v>
      </c>
      <c r="V24" s="62">
        <v>18</v>
      </c>
      <c r="W24" s="143">
        <f>4+6+4</f>
        <v>14</v>
      </c>
      <c r="X24" s="13">
        <f t="shared" si="5"/>
        <v>8</v>
      </c>
      <c r="Y24" s="62"/>
      <c r="Z24" s="143"/>
      <c r="AA24" s="13">
        <f t="shared" si="27"/>
        <v>8</v>
      </c>
      <c r="AB24" s="62"/>
      <c r="AC24" s="143"/>
      <c r="AD24" s="13">
        <f t="shared" si="28"/>
        <v>8</v>
      </c>
      <c r="AE24" s="62"/>
      <c r="AF24" s="143"/>
      <c r="AG24" s="13">
        <f t="shared" si="29"/>
        <v>8</v>
      </c>
      <c r="AH24" s="62"/>
      <c r="AI24" s="143"/>
      <c r="AJ24" s="13">
        <f t="shared" si="30"/>
        <v>8</v>
      </c>
      <c r="AK24" s="62"/>
      <c r="AL24" s="143"/>
      <c r="AM24" s="13">
        <f t="shared" si="6"/>
        <v>8</v>
      </c>
      <c r="AN24" s="62"/>
      <c r="AO24" s="143"/>
      <c r="AP24" s="13">
        <f t="shared" si="7"/>
        <v>8</v>
      </c>
      <c r="AQ24" s="62"/>
      <c r="AR24" s="143"/>
      <c r="AS24" s="13">
        <f t="shared" si="8"/>
        <v>8</v>
      </c>
      <c r="AT24" s="62"/>
      <c r="AU24" s="143"/>
      <c r="AV24" s="13">
        <f t="shared" si="9"/>
        <v>8</v>
      </c>
      <c r="AW24" s="62"/>
      <c r="AX24" s="143"/>
      <c r="AY24" s="13">
        <f t="shared" si="10"/>
        <v>8</v>
      </c>
      <c r="AZ24" s="62"/>
      <c r="BA24" s="143"/>
      <c r="BB24" s="13">
        <f t="shared" si="11"/>
        <v>8</v>
      </c>
      <c r="BC24" s="62"/>
      <c r="BD24" s="143"/>
      <c r="BE24" s="13">
        <f t="shared" si="12"/>
        <v>8</v>
      </c>
      <c r="BF24" s="62"/>
      <c r="BG24" s="143"/>
      <c r="BH24" s="13">
        <f t="shared" si="13"/>
        <v>8</v>
      </c>
      <c r="BI24" s="184"/>
      <c r="BJ24" s="143"/>
      <c r="BK24" s="13">
        <f t="shared" si="14"/>
        <v>8</v>
      </c>
      <c r="BL24" s="62"/>
      <c r="BM24" s="143"/>
      <c r="BN24" s="13">
        <f t="shared" si="15"/>
        <v>8</v>
      </c>
      <c r="BO24" s="62">
        <v>9</v>
      </c>
      <c r="BP24" s="143">
        <f>5+5+5</f>
        <v>15</v>
      </c>
      <c r="BQ24" s="13">
        <f t="shared" si="16"/>
        <v>2</v>
      </c>
      <c r="BR24" s="62"/>
      <c r="BS24" s="143"/>
      <c r="BT24" s="13">
        <f t="shared" si="17"/>
        <v>2</v>
      </c>
      <c r="BU24" s="62"/>
      <c r="BV24" s="143"/>
      <c r="BW24" s="13">
        <f t="shared" si="18"/>
        <v>2</v>
      </c>
      <c r="BX24" s="62"/>
      <c r="BY24" s="143"/>
      <c r="BZ24" s="13">
        <f t="shared" si="19"/>
        <v>2</v>
      </c>
      <c r="CA24" s="62"/>
      <c r="CB24" s="143"/>
      <c r="CC24" s="13">
        <f t="shared" si="20"/>
        <v>2</v>
      </c>
      <c r="CD24" s="62"/>
      <c r="CE24" s="143"/>
      <c r="CF24" s="13">
        <f t="shared" si="21"/>
        <v>2</v>
      </c>
      <c r="CG24" s="62"/>
      <c r="CH24" s="143"/>
      <c r="CI24" s="13">
        <f t="shared" si="31"/>
        <v>2</v>
      </c>
      <c r="CJ24" s="62"/>
      <c r="CK24" s="143"/>
      <c r="CL24" s="13">
        <f t="shared" si="32"/>
        <v>2</v>
      </c>
      <c r="CM24" s="62"/>
      <c r="CN24" s="143"/>
      <c r="CO24" s="13">
        <f t="shared" si="22"/>
        <v>2</v>
      </c>
      <c r="CP24" s="62"/>
      <c r="CQ24" s="143"/>
      <c r="CR24" s="13">
        <f t="shared" si="33"/>
        <v>2</v>
      </c>
      <c r="CS24" s="61"/>
      <c r="CT24" s="143"/>
      <c r="CU24" s="14">
        <f t="shared" si="23"/>
        <v>2</v>
      </c>
      <c r="CV24" s="5">
        <f t="shared" si="24"/>
        <v>25</v>
      </c>
      <c r="CW24" s="4">
        <f t="shared" si="24"/>
        <v>32</v>
      </c>
      <c r="CX24" s="6">
        <f t="shared" si="25"/>
        <v>2</v>
      </c>
      <c r="CY24" s="162">
        <v>122</v>
      </c>
      <c r="CZ24" s="171">
        <f t="shared" si="26"/>
        <v>244</v>
      </c>
      <c r="DB24" s="2">
        <f t="shared" si="34"/>
        <v>2</v>
      </c>
      <c r="DC24" s="61"/>
      <c r="DD24" s="143"/>
      <c r="DE24" s="149">
        <f t="shared" si="35"/>
        <v>2</v>
      </c>
    </row>
    <row r="25" spans="1:109" ht="15.75" customHeight="1">
      <c r="A25" s="33" t="s">
        <v>62</v>
      </c>
      <c r="B25" s="157" t="s">
        <v>63</v>
      </c>
      <c r="C25" s="158" t="s">
        <v>25</v>
      </c>
      <c r="D25" s="159">
        <v>2</v>
      </c>
      <c r="E25" s="159" t="s">
        <v>41</v>
      </c>
      <c r="F25" s="14">
        <v>5</v>
      </c>
      <c r="G25" s="62"/>
      <c r="H25" s="143"/>
      <c r="I25" s="13">
        <f t="shared" si="0"/>
        <v>5</v>
      </c>
      <c r="J25" s="62"/>
      <c r="K25" s="143"/>
      <c r="L25" s="13">
        <f t="shared" si="1"/>
        <v>5</v>
      </c>
      <c r="M25" s="61">
        <v>10</v>
      </c>
      <c r="N25" s="143"/>
      <c r="O25" s="13">
        <f t="shared" si="2"/>
        <v>15</v>
      </c>
      <c r="P25" s="62"/>
      <c r="Q25" s="143">
        <f>5+0.5</f>
        <v>5.5</v>
      </c>
      <c r="R25" s="30">
        <f t="shared" si="3"/>
        <v>9.5</v>
      </c>
      <c r="S25" s="61">
        <v>10</v>
      </c>
      <c r="T25" s="143">
        <f>1+1.5+3+3+1.5+2+1</f>
        <v>13</v>
      </c>
      <c r="U25" s="13">
        <f t="shared" si="4"/>
        <v>6.5</v>
      </c>
      <c r="V25" s="62">
        <f>-0.5+10</f>
        <v>9.5</v>
      </c>
      <c r="W25" s="143">
        <f>4+0.5+1+2+2</f>
        <v>9.5</v>
      </c>
      <c r="X25" s="13">
        <f t="shared" si="5"/>
        <v>6.5</v>
      </c>
      <c r="Y25" s="62"/>
      <c r="Z25" s="143">
        <f>1.5+1.5+1.5+1</f>
        <v>5.5</v>
      </c>
      <c r="AA25" s="13">
        <f t="shared" si="27"/>
        <v>1</v>
      </c>
      <c r="AB25" s="62"/>
      <c r="AC25" s="143"/>
      <c r="AD25" s="13">
        <f t="shared" si="28"/>
        <v>1</v>
      </c>
      <c r="AE25" s="62">
        <v>10</v>
      </c>
      <c r="AF25" s="143">
        <f>1+2</f>
        <v>3</v>
      </c>
      <c r="AG25" s="13">
        <f t="shared" si="29"/>
        <v>8</v>
      </c>
      <c r="AH25" s="62"/>
      <c r="AI25" s="143"/>
      <c r="AJ25" s="13">
        <f t="shared" si="30"/>
        <v>8</v>
      </c>
      <c r="AK25" s="62">
        <v>10</v>
      </c>
      <c r="AL25" s="143">
        <f>1+2+3+3+1.5</f>
        <v>10.5</v>
      </c>
      <c r="AM25" s="13">
        <f t="shared" si="6"/>
        <v>7.5</v>
      </c>
      <c r="AN25" s="62"/>
      <c r="AO25" s="143"/>
      <c r="AP25" s="13">
        <f t="shared" si="7"/>
        <v>7.5</v>
      </c>
      <c r="AQ25" s="62"/>
      <c r="AR25" s="143">
        <f>1.5+1.5+1.5</f>
        <v>4.5</v>
      </c>
      <c r="AS25" s="13">
        <f t="shared" si="8"/>
        <v>3</v>
      </c>
      <c r="AT25" s="62">
        <v>10</v>
      </c>
      <c r="AU25" s="143">
        <f>2.5+2+1+2+2</f>
        <v>9.5</v>
      </c>
      <c r="AV25" s="13">
        <f t="shared" si="9"/>
        <v>3.5</v>
      </c>
      <c r="AW25" s="62"/>
      <c r="AX25" s="143"/>
      <c r="AY25" s="13">
        <f t="shared" si="10"/>
        <v>3.5</v>
      </c>
      <c r="AZ25" s="62">
        <f>-1.5+10</f>
        <v>8.5</v>
      </c>
      <c r="BA25" s="143">
        <f>3</f>
        <v>3</v>
      </c>
      <c r="BB25" s="13">
        <f t="shared" si="11"/>
        <v>9</v>
      </c>
      <c r="BC25" s="62"/>
      <c r="BD25" s="143">
        <f>2</f>
        <v>2</v>
      </c>
      <c r="BE25" s="13">
        <f t="shared" si="12"/>
        <v>7</v>
      </c>
      <c r="BF25" s="62">
        <v>10</v>
      </c>
      <c r="BG25" s="143">
        <f>1+1+3</f>
        <v>5</v>
      </c>
      <c r="BH25" s="13">
        <f t="shared" si="13"/>
        <v>12</v>
      </c>
      <c r="BI25" s="184"/>
      <c r="BJ25" s="143"/>
      <c r="BK25" s="13">
        <f t="shared" si="14"/>
        <v>12</v>
      </c>
      <c r="BL25" s="62"/>
      <c r="BM25" s="143"/>
      <c r="BN25" s="13">
        <f t="shared" si="15"/>
        <v>12</v>
      </c>
      <c r="BO25" s="62">
        <v>10</v>
      </c>
      <c r="BP25" s="143">
        <f>1+1+1+6+1.5+1+1</f>
        <v>12.5</v>
      </c>
      <c r="BQ25" s="13">
        <f t="shared" si="16"/>
        <v>9.5</v>
      </c>
      <c r="BR25" s="62"/>
      <c r="BS25" s="143"/>
      <c r="BT25" s="13">
        <f t="shared" si="17"/>
        <v>9.5</v>
      </c>
      <c r="BU25" s="62"/>
      <c r="BV25" s="143">
        <f>4+2</f>
        <v>6</v>
      </c>
      <c r="BW25" s="13">
        <f t="shared" si="18"/>
        <v>3.5</v>
      </c>
      <c r="BX25" s="62">
        <v>10</v>
      </c>
      <c r="BY25" s="143">
        <v>1</v>
      </c>
      <c r="BZ25" s="13">
        <f t="shared" si="19"/>
        <v>12.5</v>
      </c>
      <c r="CA25" s="62"/>
      <c r="CB25" s="143">
        <f>1+3</f>
        <v>4</v>
      </c>
      <c r="CC25" s="13">
        <f t="shared" si="20"/>
        <v>8.5</v>
      </c>
      <c r="CD25" s="62"/>
      <c r="CE25" s="143"/>
      <c r="CF25" s="13">
        <f t="shared" si="21"/>
        <v>8.5</v>
      </c>
      <c r="CG25" s="62">
        <v>10</v>
      </c>
      <c r="CH25" s="143">
        <f>1+3+1.5+1.5+2</f>
        <v>9</v>
      </c>
      <c r="CI25" s="13">
        <f t="shared" si="31"/>
        <v>9.5</v>
      </c>
      <c r="CJ25" s="62">
        <v>10</v>
      </c>
      <c r="CK25" s="143">
        <f>2.5+2+2+2+3+2+1.5+2+1</f>
        <v>18</v>
      </c>
      <c r="CL25" s="13">
        <f t="shared" si="32"/>
        <v>1.5</v>
      </c>
      <c r="CM25" s="62"/>
      <c r="CN25" s="143"/>
      <c r="CO25" s="13">
        <f t="shared" si="22"/>
        <v>1.5</v>
      </c>
      <c r="CP25" s="62"/>
      <c r="CQ25" s="143"/>
      <c r="CR25" s="13">
        <f t="shared" si="33"/>
        <v>1.5</v>
      </c>
      <c r="CS25" s="61">
        <v>10</v>
      </c>
      <c r="CT25" s="143"/>
      <c r="CU25" s="14">
        <f t="shared" si="23"/>
        <v>11.5</v>
      </c>
      <c r="CV25" s="5">
        <f t="shared" si="24"/>
        <v>128</v>
      </c>
      <c r="CW25" s="4">
        <f t="shared" si="24"/>
        <v>121.5</v>
      </c>
      <c r="CX25" s="6">
        <f t="shared" si="25"/>
        <v>11.5</v>
      </c>
      <c r="CY25" s="162">
        <v>180</v>
      </c>
      <c r="CZ25" s="171">
        <f t="shared" si="26"/>
        <v>2070</v>
      </c>
      <c r="DB25" s="2">
        <f t="shared" si="34"/>
        <v>11.5</v>
      </c>
      <c r="DC25" s="61"/>
      <c r="DD25" s="143">
        <f>1+4+2</f>
        <v>7</v>
      </c>
      <c r="DE25" s="149">
        <f t="shared" si="35"/>
        <v>4.5</v>
      </c>
    </row>
    <row r="26" spans="1:109" ht="15.75" customHeight="1">
      <c r="A26" s="33"/>
      <c r="B26" s="7" t="s">
        <v>64</v>
      </c>
      <c r="C26" s="105" t="s">
        <v>65</v>
      </c>
      <c r="D26" s="35" t="s">
        <v>246</v>
      </c>
      <c r="E26" s="35" t="s">
        <v>51</v>
      </c>
      <c r="F26" s="14">
        <v>22</v>
      </c>
      <c r="G26" s="62"/>
      <c r="H26" s="143"/>
      <c r="I26" s="13">
        <f t="shared" si="0"/>
        <v>22</v>
      </c>
      <c r="J26" s="62"/>
      <c r="K26" s="143"/>
      <c r="L26" s="13">
        <f t="shared" si="1"/>
        <v>22</v>
      </c>
      <c r="M26" s="61"/>
      <c r="N26" s="143">
        <v>9</v>
      </c>
      <c r="O26" s="13">
        <f t="shared" si="2"/>
        <v>13</v>
      </c>
      <c r="P26" s="62"/>
      <c r="Q26" s="143">
        <v>10</v>
      </c>
      <c r="R26" s="30">
        <f t="shared" si="3"/>
        <v>3</v>
      </c>
      <c r="S26" s="61">
        <v>10</v>
      </c>
      <c r="T26" s="143">
        <v>1</v>
      </c>
      <c r="U26" s="13">
        <f t="shared" si="4"/>
        <v>12</v>
      </c>
      <c r="V26" s="62">
        <v>6</v>
      </c>
      <c r="W26" s="143">
        <v>9</v>
      </c>
      <c r="X26" s="13">
        <f t="shared" si="5"/>
        <v>9</v>
      </c>
      <c r="Y26" s="62">
        <v>8</v>
      </c>
      <c r="Z26" s="143">
        <v>7</v>
      </c>
      <c r="AA26" s="13">
        <f t="shared" si="27"/>
        <v>10</v>
      </c>
      <c r="AB26" s="62"/>
      <c r="AC26" s="143"/>
      <c r="AD26" s="13">
        <f t="shared" si="28"/>
        <v>10</v>
      </c>
      <c r="AE26" s="62">
        <v>3</v>
      </c>
      <c r="AF26" s="143">
        <v>3</v>
      </c>
      <c r="AG26" s="13">
        <f t="shared" si="29"/>
        <v>10</v>
      </c>
      <c r="AH26" s="62">
        <v>6</v>
      </c>
      <c r="AI26" s="143">
        <v>2</v>
      </c>
      <c r="AJ26" s="13">
        <f t="shared" si="30"/>
        <v>14</v>
      </c>
      <c r="AK26" s="62">
        <v>9</v>
      </c>
      <c r="AL26" s="143">
        <v>7</v>
      </c>
      <c r="AM26" s="13">
        <f t="shared" si="6"/>
        <v>16</v>
      </c>
      <c r="AN26" s="62"/>
      <c r="AO26" s="143"/>
      <c r="AP26" s="13">
        <f t="shared" si="7"/>
        <v>16</v>
      </c>
      <c r="AQ26" s="62"/>
      <c r="AR26" s="143">
        <v>7</v>
      </c>
      <c r="AS26" s="13">
        <f t="shared" si="8"/>
        <v>9</v>
      </c>
      <c r="AT26" s="62">
        <v>8</v>
      </c>
      <c r="AU26" s="143">
        <v>7</v>
      </c>
      <c r="AV26" s="13">
        <f t="shared" si="9"/>
        <v>10</v>
      </c>
      <c r="AW26" s="62"/>
      <c r="AX26" s="143"/>
      <c r="AY26" s="13">
        <f t="shared" si="10"/>
        <v>10</v>
      </c>
      <c r="AZ26" s="62">
        <v>4</v>
      </c>
      <c r="BA26" s="143">
        <v>4</v>
      </c>
      <c r="BB26" s="13">
        <f t="shared" si="11"/>
        <v>10</v>
      </c>
      <c r="BC26" s="62">
        <v>5</v>
      </c>
      <c r="BD26" s="143">
        <v>5</v>
      </c>
      <c r="BE26" s="13">
        <f t="shared" si="12"/>
        <v>10</v>
      </c>
      <c r="BF26" s="62">
        <v>5</v>
      </c>
      <c r="BG26" s="143">
        <v>5</v>
      </c>
      <c r="BH26" s="13">
        <f t="shared" si="13"/>
        <v>10</v>
      </c>
      <c r="BI26" s="184"/>
      <c r="BJ26" s="143"/>
      <c r="BK26" s="13">
        <f t="shared" si="14"/>
        <v>10</v>
      </c>
      <c r="BL26" s="62">
        <v>8</v>
      </c>
      <c r="BM26" s="143">
        <v>8</v>
      </c>
      <c r="BN26" s="13">
        <f t="shared" si="15"/>
        <v>10</v>
      </c>
      <c r="BO26" s="62">
        <v>7</v>
      </c>
      <c r="BP26" s="143">
        <v>7</v>
      </c>
      <c r="BQ26" s="13">
        <f t="shared" si="16"/>
        <v>10</v>
      </c>
      <c r="BR26" s="62"/>
      <c r="BS26" s="143"/>
      <c r="BT26" s="13">
        <f t="shared" si="17"/>
        <v>10</v>
      </c>
      <c r="BU26" s="62">
        <v>6</v>
      </c>
      <c r="BV26" s="143">
        <v>6</v>
      </c>
      <c r="BW26" s="13">
        <f t="shared" si="18"/>
        <v>10</v>
      </c>
      <c r="BX26" s="62">
        <v>4</v>
      </c>
      <c r="BY26" s="143">
        <v>4</v>
      </c>
      <c r="BZ26" s="13">
        <f t="shared" si="19"/>
        <v>10</v>
      </c>
      <c r="CA26" s="62">
        <v>6</v>
      </c>
      <c r="CB26" s="143">
        <v>6</v>
      </c>
      <c r="CC26" s="13">
        <f t="shared" si="20"/>
        <v>10</v>
      </c>
      <c r="CD26" s="62"/>
      <c r="CE26" s="143"/>
      <c r="CF26" s="13">
        <f t="shared" si="21"/>
        <v>10</v>
      </c>
      <c r="CG26" s="62">
        <v>9</v>
      </c>
      <c r="CH26" s="143">
        <v>9</v>
      </c>
      <c r="CI26" s="13">
        <f t="shared" si="31"/>
        <v>10</v>
      </c>
      <c r="CJ26" s="62">
        <v>8</v>
      </c>
      <c r="CK26" s="143">
        <v>8</v>
      </c>
      <c r="CL26" s="13">
        <f t="shared" si="32"/>
        <v>10</v>
      </c>
      <c r="CM26" s="62"/>
      <c r="CN26" s="143"/>
      <c r="CO26" s="13">
        <f t="shared" si="22"/>
        <v>10</v>
      </c>
      <c r="CP26" s="62">
        <v>6</v>
      </c>
      <c r="CQ26" s="143">
        <v>6</v>
      </c>
      <c r="CR26" s="13">
        <f t="shared" si="33"/>
        <v>10</v>
      </c>
      <c r="CS26" s="61"/>
      <c r="CT26" s="143">
        <v>3</v>
      </c>
      <c r="CU26" s="14">
        <f t="shared" si="23"/>
        <v>7</v>
      </c>
      <c r="CV26" s="5">
        <f t="shared" si="24"/>
        <v>118</v>
      </c>
      <c r="CW26" s="4">
        <f t="shared" si="24"/>
        <v>133</v>
      </c>
      <c r="CX26" s="6">
        <f t="shared" si="25"/>
        <v>7</v>
      </c>
      <c r="CY26" s="162">
        <v>3600</v>
      </c>
      <c r="CZ26" s="171">
        <f t="shared" si="26"/>
        <v>25200</v>
      </c>
      <c r="DB26" s="2">
        <f t="shared" si="34"/>
        <v>7</v>
      </c>
      <c r="DC26" s="61"/>
      <c r="DD26" s="143"/>
      <c r="DE26" s="149">
        <f t="shared" si="35"/>
        <v>7</v>
      </c>
    </row>
    <row r="27" spans="1:109" ht="15.75" customHeight="1">
      <c r="A27" s="33" t="s">
        <v>66</v>
      </c>
      <c r="B27" s="3" t="s">
        <v>67</v>
      </c>
      <c r="C27" s="104" t="s">
        <v>50</v>
      </c>
      <c r="D27" s="34">
        <v>20</v>
      </c>
      <c r="E27" s="34" t="s">
        <v>68</v>
      </c>
      <c r="F27" s="14">
        <v>6.9199999999999502</v>
      </c>
      <c r="G27" s="62"/>
      <c r="H27" s="143"/>
      <c r="I27" s="13">
        <f t="shared" si="0"/>
        <v>6.9199999999999502</v>
      </c>
      <c r="J27" s="62"/>
      <c r="K27" s="143"/>
      <c r="L27" s="13">
        <f t="shared" si="1"/>
        <v>6.9199999999999502</v>
      </c>
      <c r="M27" s="61">
        <v>2.2999999999999998</v>
      </c>
      <c r="N27" s="143">
        <f>0.2+3.5+1.3</f>
        <v>5</v>
      </c>
      <c r="O27" s="13">
        <f t="shared" si="2"/>
        <v>4.2199999999999491</v>
      </c>
      <c r="P27" s="62"/>
      <c r="Q27" s="143">
        <f>4.2</f>
        <v>4.2</v>
      </c>
      <c r="R27" s="30">
        <f t="shared" si="3"/>
        <v>1.9999999999948948E-2</v>
      </c>
      <c r="S27" s="61">
        <f>-6+20</f>
        <v>14</v>
      </c>
      <c r="T27" s="143">
        <f>1.3+2.2+0.9+1.4+1.1</f>
        <v>6.9</v>
      </c>
      <c r="U27" s="13">
        <f t="shared" si="4"/>
        <v>7.1199999999999495</v>
      </c>
      <c r="V27" s="62">
        <v>40</v>
      </c>
      <c r="W27" s="143">
        <f>2.6+0.7+1.5+1.8+10+1.1+1.2</f>
        <v>18.900000000000002</v>
      </c>
      <c r="X27" s="13">
        <f t="shared" si="5"/>
        <v>28.219999999999946</v>
      </c>
      <c r="Y27" s="62">
        <v>40</v>
      </c>
      <c r="Z27" s="143">
        <f>0.7+1.4+2.6+2.8+1.1+2.5+1.3+1.2+1.2+1.4+1+1.2</f>
        <v>18.399999999999999</v>
      </c>
      <c r="AA27" s="13">
        <f t="shared" si="27"/>
        <v>49.819999999999943</v>
      </c>
      <c r="AB27" s="62"/>
      <c r="AC27" s="143"/>
      <c r="AD27" s="13">
        <f t="shared" si="28"/>
        <v>49.819999999999943</v>
      </c>
      <c r="AE27" s="62"/>
      <c r="AF27" s="143">
        <f>2.6+0.2+0.2+0.2+0.2+0.2+0.4</f>
        <v>4.0000000000000009</v>
      </c>
      <c r="AG27" s="13">
        <f t="shared" si="29"/>
        <v>45.819999999999943</v>
      </c>
      <c r="AH27" s="62"/>
      <c r="AI27" s="143">
        <f>10</f>
        <v>10</v>
      </c>
      <c r="AJ27" s="13">
        <f t="shared" si="30"/>
        <v>35.819999999999943</v>
      </c>
      <c r="AK27" s="62">
        <v>40</v>
      </c>
      <c r="AL27" s="143">
        <f>2+2.7+0.5+1.6+3.5+2.5+3+0.8</f>
        <v>16.600000000000001</v>
      </c>
      <c r="AM27" s="13">
        <f t="shared" si="6"/>
        <v>59.219999999999935</v>
      </c>
      <c r="AN27" s="62"/>
      <c r="AO27" s="143"/>
      <c r="AP27" s="13">
        <f t="shared" si="7"/>
        <v>59.219999999999935</v>
      </c>
      <c r="AQ27" s="62"/>
      <c r="AR27" s="143">
        <f>1.7+1+1.2</f>
        <v>3.9000000000000004</v>
      </c>
      <c r="AS27" s="13">
        <f t="shared" si="8"/>
        <v>55.319999999999936</v>
      </c>
      <c r="AT27" s="62"/>
      <c r="AU27" s="143">
        <f>1.8+1.2+5.7+0.6+1.9+1.2+1.4+1.1+2.2+1.8+1.2</f>
        <v>20.099999999999998</v>
      </c>
      <c r="AV27" s="13">
        <f t="shared" si="9"/>
        <v>35.219999999999942</v>
      </c>
      <c r="AW27" s="62"/>
      <c r="AX27" s="143"/>
      <c r="AY27" s="13">
        <f t="shared" si="10"/>
        <v>35.219999999999942</v>
      </c>
      <c r="AZ27" s="62">
        <v>20</v>
      </c>
      <c r="BA27" s="143">
        <f>10+3.7+0.4+0.2+0.2+0.2+0.3</f>
        <v>14.999999999999998</v>
      </c>
      <c r="BB27" s="13">
        <f t="shared" si="11"/>
        <v>40.219999999999942</v>
      </c>
      <c r="BC27" s="62"/>
      <c r="BD27" s="143">
        <f>1.3+1.6+2.5</f>
        <v>5.4</v>
      </c>
      <c r="BE27" s="13">
        <f t="shared" si="12"/>
        <v>34.819999999999943</v>
      </c>
      <c r="BF27" s="62">
        <v>40</v>
      </c>
      <c r="BG27" s="143">
        <f>1.3+1.4+0.7+1.5+2.4+1.2+2.7+1.4+1.6+0.8+3.7+4.1</f>
        <v>22.799999999999997</v>
      </c>
      <c r="BH27" s="13">
        <f t="shared" si="13"/>
        <v>52.019999999999939</v>
      </c>
      <c r="BI27" s="184"/>
      <c r="BJ27" s="143"/>
      <c r="BK27" s="13">
        <f t="shared" si="14"/>
        <v>52.019999999999939</v>
      </c>
      <c r="BL27" s="62"/>
      <c r="BM27" s="143">
        <f>2.6+0.7+1.2+1.4+1.1+0.5+1.2+10</f>
        <v>18.7</v>
      </c>
      <c r="BN27" s="13">
        <f t="shared" si="15"/>
        <v>33.319999999999936</v>
      </c>
      <c r="BO27" s="62">
        <v>40</v>
      </c>
      <c r="BP27" s="143">
        <f>0.7+0.9+2.8+0.8+3.4+2.5+10+1.4+3.2+1.5+2.3+1+1.6</f>
        <v>32.1</v>
      </c>
      <c r="BQ27" s="13">
        <f t="shared" si="16"/>
        <v>41.219999999999935</v>
      </c>
      <c r="BR27" s="62"/>
      <c r="BS27" s="143"/>
      <c r="BT27" s="13">
        <f t="shared" si="17"/>
        <v>41.219999999999935</v>
      </c>
      <c r="BU27" s="62"/>
      <c r="BV27" s="143">
        <f>6+2.6+0.2+0.2+0.3+0.2+0.2+0.4</f>
        <v>10.099999999999998</v>
      </c>
      <c r="BW27" s="13">
        <f t="shared" si="18"/>
        <v>31.119999999999937</v>
      </c>
      <c r="BX27" s="62"/>
      <c r="BY27" s="143">
        <f>0.8</f>
        <v>0.8</v>
      </c>
      <c r="BZ27" s="13">
        <f t="shared" si="19"/>
        <v>30.319999999999936</v>
      </c>
      <c r="CA27" s="62">
        <v>40</v>
      </c>
      <c r="CB27" s="143">
        <f>2+0.9+0.6+0.8+5.1+2+2.1+1.6+1.2</f>
        <v>16.299999999999997</v>
      </c>
      <c r="CC27" s="13">
        <f t="shared" si="20"/>
        <v>54.019999999999939</v>
      </c>
      <c r="CD27" s="62"/>
      <c r="CE27" s="143"/>
      <c r="CF27" s="13">
        <f t="shared" si="21"/>
        <v>54.019999999999939</v>
      </c>
      <c r="CG27" s="62"/>
      <c r="CH27" s="143">
        <f>10+2+0.5+1.6+1.8+1+0.9</f>
        <v>17.799999999999997</v>
      </c>
      <c r="CI27" s="13">
        <f t="shared" si="31"/>
        <v>36.219999999999942</v>
      </c>
      <c r="CJ27" s="62">
        <v>40</v>
      </c>
      <c r="CK27" s="143">
        <f>1.4+1.9+1.2+0.9+1.5+5.7+7.1+10+0.5+2+0.8+0.6+0.9+1.5+2.3+1</f>
        <v>39.299999999999997</v>
      </c>
      <c r="CL27" s="13">
        <f t="shared" si="32"/>
        <v>36.919999999999945</v>
      </c>
      <c r="CM27" s="62"/>
      <c r="CN27" s="143"/>
      <c r="CO27" s="13">
        <f t="shared" si="22"/>
        <v>36.919999999999945</v>
      </c>
      <c r="CP27" s="62"/>
      <c r="CQ27" s="143">
        <f>5.6+0.4+0.2+0.1+3.1</f>
        <v>9.4</v>
      </c>
      <c r="CR27" s="13">
        <f t="shared" si="33"/>
        <v>27.519999999999946</v>
      </c>
      <c r="CS27" s="61"/>
      <c r="CT27" s="143"/>
      <c r="CU27" s="14">
        <f t="shared" si="23"/>
        <v>27.519999999999946</v>
      </c>
      <c r="CV27" s="5">
        <f t="shared" si="24"/>
        <v>316.3</v>
      </c>
      <c r="CW27" s="4">
        <f t="shared" si="24"/>
        <v>295.7</v>
      </c>
      <c r="CX27" s="6">
        <f t="shared" si="25"/>
        <v>27.519999999999946</v>
      </c>
      <c r="CY27" s="162">
        <v>150</v>
      </c>
      <c r="CZ27" s="171">
        <f t="shared" si="26"/>
        <v>4127.9999999999918</v>
      </c>
      <c r="DB27" s="2">
        <f t="shared" si="34"/>
        <v>27.519999999999946</v>
      </c>
      <c r="DC27" s="61"/>
      <c r="DD27" s="143">
        <f>0.4+3.1+1.4</f>
        <v>4.9000000000000004</v>
      </c>
      <c r="DE27" s="149">
        <f t="shared" si="35"/>
        <v>22.619999999999948</v>
      </c>
    </row>
    <row r="28" spans="1:109" ht="15" customHeight="1">
      <c r="A28" s="33"/>
      <c r="B28" s="3" t="s">
        <v>69</v>
      </c>
      <c r="C28" s="104" t="s">
        <v>50</v>
      </c>
      <c r="D28" s="34"/>
      <c r="E28" s="34" t="s">
        <v>51</v>
      </c>
      <c r="F28" s="14">
        <v>10.299999999999997</v>
      </c>
      <c r="G28" s="62"/>
      <c r="H28" s="143"/>
      <c r="I28" s="13">
        <f t="shared" si="0"/>
        <v>10.299999999999997</v>
      </c>
      <c r="J28" s="62"/>
      <c r="K28" s="143"/>
      <c r="L28" s="13">
        <f t="shared" si="1"/>
        <v>10.299999999999997</v>
      </c>
      <c r="M28" s="61"/>
      <c r="N28" s="143">
        <v>3.2</v>
      </c>
      <c r="O28" s="13">
        <f t="shared" si="2"/>
        <v>7.099999999999997</v>
      </c>
      <c r="P28" s="62"/>
      <c r="Q28" s="143">
        <v>2</v>
      </c>
      <c r="R28" s="30">
        <f t="shared" si="3"/>
        <v>5.099999999999997</v>
      </c>
      <c r="S28" s="183">
        <v>-3</v>
      </c>
      <c r="T28" s="143"/>
      <c r="U28" s="13">
        <f t="shared" si="4"/>
        <v>2.099999999999997</v>
      </c>
      <c r="V28" s="62"/>
      <c r="W28" s="143">
        <v>1</v>
      </c>
      <c r="X28" s="13">
        <f t="shared" si="5"/>
        <v>1.099999999999997</v>
      </c>
      <c r="Y28" s="62">
        <v>20</v>
      </c>
      <c r="Z28" s="143">
        <v>1</v>
      </c>
      <c r="AA28" s="13">
        <f t="shared" si="27"/>
        <v>20.099999999999998</v>
      </c>
      <c r="AB28" s="62"/>
      <c r="AC28" s="143"/>
      <c r="AD28" s="13">
        <f t="shared" si="28"/>
        <v>20.099999999999998</v>
      </c>
      <c r="AE28" s="62"/>
      <c r="AF28" s="143"/>
      <c r="AG28" s="13">
        <f t="shared" si="29"/>
        <v>20.099999999999998</v>
      </c>
      <c r="AH28" s="62"/>
      <c r="AI28" s="143">
        <v>1</v>
      </c>
      <c r="AJ28" s="13">
        <f t="shared" si="30"/>
        <v>19.099999999999998</v>
      </c>
      <c r="AK28" s="62"/>
      <c r="AL28" s="143">
        <v>1</v>
      </c>
      <c r="AM28" s="13">
        <f t="shared" si="6"/>
        <v>18.099999999999998</v>
      </c>
      <c r="AN28" s="62"/>
      <c r="AO28" s="143"/>
      <c r="AP28" s="13">
        <f t="shared" si="7"/>
        <v>18.099999999999998</v>
      </c>
      <c r="AQ28" s="62"/>
      <c r="AR28" s="143">
        <v>1.5</v>
      </c>
      <c r="AS28" s="13">
        <f t="shared" si="8"/>
        <v>16.599999999999998</v>
      </c>
      <c r="AT28" s="62"/>
      <c r="AU28" s="143">
        <v>1</v>
      </c>
      <c r="AV28" s="13">
        <f t="shared" si="9"/>
        <v>15.599999999999998</v>
      </c>
      <c r="AW28" s="62"/>
      <c r="AX28" s="143"/>
      <c r="AY28" s="13">
        <f t="shared" si="10"/>
        <v>15.599999999999998</v>
      </c>
      <c r="AZ28" s="62"/>
      <c r="BA28" s="143">
        <f>1</f>
        <v>1</v>
      </c>
      <c r="BB28" s="13">
        <f t="shared" si="11"/>
        <v>14.599999999999998</v>
      </c>
      <c r="BC28" s="62"/>
      <c r="BD28" s="143"/>
      <c r="BE28" s="13">
        <f t="shared" si="12"/>
        <v>14.599999999999998</v>
      </c>
      <c r="BF28" s="62"/>
      <c r="BG28" s="143">
        <v>1</v>
      </c>
      <c r="BH28" s="13">
        <f t="shared" si="13"/>
        <v>13.599999999999998</v>
      </c>
      <c r="BI28" s="184"/>
      <c r="BJ28" s="143"/>
      <c r="BK28" s="13">
        <f t="shared" si="14"/>
        <v>13.599999999999998</v>
      </c>
      <c r="BL28" s="62"/>
      <c r="BM28" s="143"/>
      <c r="BN28" s="13">
        <f t="shared" si="15"/>
        <v>13.599999999999998</v>
      </c>
      <c r="BO28" s="62"/>
      <c r="BP28" s="143"/>
      <c r="BQ28" s="13">
        <f t="shared" si="16"/>
        <v>13.599999999999998</v>
      </c>
      <c r="BR28" s="62"/>
      <c r="BS28" s="143"/>
      <c r="BT28" s="13">
        <f t="shared" si="17"/>
        <v>13.599999999999998</v>
      </c>
      <c r="BU28" s="62"/>
      <c r="BV28" s="143"/>
      <c r="BW28" s="13">
        <f t="shared" si="18"/>
        <v>13.599999999999998</v>
      </c>
      <c r="BX28" s="62"/>
      <c r="BY28" s="143">
        <v>0.5</v>
      </c>
      <c r="BZ28" s="13">
        <f t="shared" si="19"/>
        <v>13.099999999999998</v>
      </c>
      <c r="CA28" s="62"/>
      <c r="CB28" s="143"/>
      <c r="CC28" s="13">
        <f t="shared" si="20"/>
        <v>13.099999999999998</v>
      </c>
      <c r="CD28" s="62"/>
      <c r="CE28" s="143"/>
      <c r="CF28" s="13">
        <f t="shared" si="21"/>
        <v>13.099999999999998</v>
      </c>
      <c r="CG28" s="62"/>
      <c r="CH28" s="143"/>
      <c r="CI28" s="13">
        <f t="shared" si="31"/>
        <v>13.099999999999998</v>
      </c>
      <c r="CJ28" s="62">
        <v>-0.7</v>
      </c>
      <c r="CK28" s="143">
        <v>1</v>
      </c>
      <c r="CL28" s="13">
        <f t="shared" si="32"/>
        <v>11.399999999999999</v>
      </c>
      <c r="CM28" s="62"/>
      <c r="CN28" s="143"/>
      <c r="CO28" s="13">
        <f t="shared" si="22"/>
        <v>11.399999999999999</v>
      </c>
      <c r="CP28" s="62"/>
      <c r="CQ28" s="143">
        <v>1</v>
      </c>
      <c r="CR28" s="13">
        <f t="shared" si="33"/>
        <v>10.399999999999999</v>
      </c>
      <c r="CS28" s="61"/>
      <c r="CT28" s="143"/>
      <c r="CU28" s="14">
        <f t="shared" si="23"/>
        <v>10.399999999999999</v>
      </c>
      <c r="CV28" s="5">
        <f t="shared" si="24"/>
        <v>16.3</v>
      </c>
      <c r="CW28" s="4">
        <f t="shared" si="24"/>
        <v>16.2</v>
      </c>
      <c r="CX28" s="6">
        <f t="shared" si="25"/>
        <v>10.399999999999999</v>
      </c>
      <c r="CY28" s="162">
        <v>100</v>
      </c>
      <c r="CZ28" s="171">
        <f t="shared" si="26"/>
        <v>1039.9999999999998</v>
      </c>
      <c r="DB28" s="2">
        <f t="shared" si="34"/>
        <v>10.399999999999999</v>
      </c>
      <c r="DC28" s="61"/>
      <c r="DD28" s="143"/>
      <c r="DE28" s="149">
        <f t="shared" si="35"/>
        <v>10.399999999999999</v>
      </c>
    </row>
    <row r="29" spans="1:109" ht="15.75" customHeight="1">
      <c r="A29" s="33"/>
      <c r="B29" s="7" t="s">
        <v>70</v>
      </c>
      <c r="C29" s="105" t="s">
        <v>30</v>
      </c>
      <c r="D29" s="35" t="s">
        <v>247</v>
      </c>
      <c r="E29" s="35" t="s">
        <v>71</v>
      </c>
      <c r="F29" s="14">
        <v>13</v>
      </c>
      <c r="G29" s="62"/>
      <c r="H29" s="143"/>
      <c r="I29" s="13">
        <f t="shared" si="0"/>
        <v>13</v>
      </c>
      <c r="J29" s="62"/>
      <c r="K29" s="143"/>
      <c r="L29" s="13">
        <f t="shared" si="1"/>
        <v>13</v>
      </c>
      <c r="M29" s="61">
        <v>10</v>
      </c>
      <c r="N29" s="143">
        <v>12</v>
      </c>
      <c r="O29" s="13">
        <f t="shared" si="2"/>
        <v>11</v>
      </c>
      <c r="P29" s="62"/>
      <c r="Q29" s="143">
        <f>1+10</f>
        <v>11</v>
      </c>
      <c r="R29" s="30">
        <f t="shared" si="3"/>
        <v>0</v>
      </c>
      <c r="S29" s="61">
        <v>20</v>
      </c>
      <c r="T29" s="143"/>
      <c r="U29" s="13">
        <f t="shared" si="4"/>
        <v>20</v>
      </c>
      <c r="V29" s="62">
        <v>10</v>
      </c>
      <c r="W29" s="143">
        <f>8+3</f>
        <v>11</v>
      </c>
      <c r="X29" s="13">
        <f t="shared" si="5"/>
        <v>19</v>
      </c>
      <c r="Y29" s="62">
        <v>10</v>
      </c>
      <c r="Z29" s="143">
        <f>3+3</f>
        <v>6</v>
      </c>
      <c r="AA29" s="13">
        <f t="shared" si="27"/>
        <v>23</v>
      </c>
      <c r="AB29" s="62"/>
      <c r="AC29" s="143"/>
      <c r="AD29" s="13">
        <f t="shared" si="28"/>
        <v>23</v>
      </c>
      <c r="AE29" s="62"/>
      <c r="AF29" s="143">
        <f>2+1</f>
        <v>3</v>
      </c>
      <c r="AG29" s="13">
        <f>AD29+AE29-AF29</f>
        <v>20</v>
      </c>
      <c r="AH29" s="62">
        <v>10</v>
      </c>
      <c r="AI29" s="143">
        <f>3+8</f>
        <v>11</v>
      </c>
      <c r="AJ29" s="13">
        <f t="shared" si="30"/>
        <v>19</v>
      </c>
      <c r="AK29" s="62">
        <v>10</v>
      </c>
      <c r="AL29" s="143">
        <v>6</v>
      </c>
      <c r="AM29" s="13">
        <f t="shared" si="6"/>
        <v>23</v>
      </c>
      <c r="AN29" s="62"/>
      <c r="AO29" s="143"/>
      <c r="AP29" s="13">
        <f t="shared" si="7"/>
        <v>23</v>
      </c>
      <c r="AQ29" s="62"/>
      <c r="AR29" s="143">
        <v>8</v>
      </c>
      <c r="AS29" s="13">
        <f t="shared" si="8"/>
        <v>15</v>
      </c>
      <c r="AT29" s="62">
        <v>20</v>
      </c>
      <c r="AU29" s="143">
        <f>8+4</f>
        <v>12</v>
      </c>
      <c r="AV29" s="13">
        <f t="shared" si="9"/>
        <v>23</v>
      </c>
      <c r="AW29" s="62"/>
      <c r="AX29" s="143"/>
      <c r="AY29" s="13">
        <f t="shared" si="10"/>
        <v>23</v>
      </c>
      <c r="AZ29" s="62"/>
      <c r="BA29" s="143">
        <f>7</f>
        <v>7</v>
      </c>
      <c r="BB29" s="13">
        <f t="shared" si="11"/>
        <v>16</v>
      </c>
      <c r="BC29" s="62">
        <v>10</v>
      </c>
      <c r="BD29" s="143">
        <f>3+4</f>
        <v>7</v>
      </c>
      <c r="BE29" s="13">
        <f t="shared" si="12"/>
        <v>19</v>
      </c>
      <c r="BF29" s="62">
        <v>10</v>
      </c>
      <c r="BG29" s="143">
        <v>8</v>
      </c>
      <c r="BH29" s="13">
        <f t="shared" si="13"/>
        <v>21</v>
      </c>
      <c r="BI29" s="184"/>
      <c r="BJ29" s="143"/>
      <c r="BK29" s="13">
        <f t="shared" si="14"/>
        <v>21</v>
      </c>
      <c r="BL29" s="62"/>
      <c r="BM29" s="143">
        <v>7</v>
      </c>
      <c r="BN29" s="13">
        <f t="shared" si="15"/>
        <v>14</v>
      </c>
      <c r="BO29" s="62">
        <v>20</v>
      </c>
      <c r="BP29" s="143">
        <f>10+3</f>
        <v>13</v>
      </c>
      <c r="BQ29" s="13">
        <f t="shared" si="16"/>
        <v>21</v>
      </c>
      <c r="BR29" s="62"/>
      <c r="BS29" s="143"/>
      <c r="BT29" s="13">
        <f t="shared" si="17"/>
        <v>21</v>
      </c>
      <c r="BU29" s="62">
        <v>10</v>
      </c>
      <c r="BV29" s="143">
        <f>6+1</f>
        <v>7</v>
      </c>
      <c r="BW29" s="13">
        <f t="shared" si="18"/>
        <v>24</v>
      </c>
      <c r="BX29" s="62">
        <v>10</v>
      </c>
      <c r="BY29" s="143">
        <f>3+3+2</f>
        <v>8</v>
      </c>
      <c r="BZ29" s="13">
        <f t="shared" si="19"/>
        <v>26</v>
      </c>
      <c r="CA29" s="62">
        <v>10</v>
      </c>
      <c r="CB29" s="143">
        <f>9+8</f>
        <v>17</v>
      </c>
      <c r="CC29" s="13">
        <f t="shared" si="20"/>
        <v>19</v>
      </c>
      <c r="CD29" s="62"/>
      <c r="CE29" s="143"/>
      <c r="CF29" s="13">
        <f t="shared" si="21"/>
        <v>19</v>
      </c>
      <c r="CG29" s="62">
        <v>10</v>
      </c>
      <c r="CH29" s="143">
        <f>4+7</f>
        <v>11</v>
      </c>
      <c r="CI29" s="13">
        <f t="shared" si="31"/>
        <v>18</v>
      </c>
      <c r="CJ29" s="62">
        <v>10</v>
      </c>
      <c r="CK29" s="143">
        <f>5+4</f>
        <v>9</v>
      </c>
      <c r="CL29" s="13">
        <f t="shared" si="32"/>
        <v>19</v>
      </c>
      <c r="CM29" s="62"/>
      <c r="CN29" s="143"/>
      <c r="CO29" s="13">
        <f t="shared" si="22"/>
        <v>19</v>
      </c>
      <c r="CP29" s="62"/>
      <c r="CQ29" s="143">
        <v>5</v>
      </c>
      <c r="CR29" s="13">
        <f t="shared" si="33"/>
        <v>14</v>
      </c>
      <c r="CS29" s="61"/>
      <c r="CT29" s="143">
        <f>2</f>
        <v>2</v>
      </c>
      <c r="CU29" s="14">
        <f t="shared" si="23"/>
        <v>12</v>
      </c>
      <c r="CV29" s="5">
        <f t="shared" si="24"/>
        <v>180</v>
      </c>
      <c r="CW29" s="4">
        <f t="shared" si="24"/>
        <v>181</v>
      </c>
      <c r="CX29" s="6">
        <f t="shared" si="25"/>
        <v>12</v>
      </c>
      <c r="CY29" s="162">
        <v>120</v>
      </c>
      <c r="CZ29" s="171">
        <f t="shared" si="26"/>
        <v>1440</v>
      </c>
      <c r="DB29" s="2">
        <f t="shared" si="34"/>
        <v>12</v>
      </c>
      <c r="DC29" s="61"/>
      <c r="DD29" s="143"/>
      <c r="DE29" s="149">
        <f t="shared" si="35"/>
        <v>12</v>
      </c>
    </row>
    <row r="30" spans="1:109" ht="15.75" customHeight="1">
      <c r="A30" s="33"/>
      <c r="B30" s="3" t="s">
        <v>72</v>
      </c>
      <c r="C30" s="104" t="s">
        <v>27</v>
      </c>
      <c r="D30" s="34"/>
      <c r="E30" s="34" t="s">
        <v>27</v>
      </c>
      <c r="F30" s="14">
        <v>0</v>
      </c>
      <c r="G30" s="62"/>
      <c r="H30" s="143"/>
      <c r="I30" s="13">
        <f t="shared" si="0"/>
        <v>0</v>
      </c>
      <c r="J30" s="62"/>
      <c r="K30" s="143"/>
      <c r="L30" s="13">
        <f t="shared" si="1"/>
        <v>0</v>
      </c>
      <c r="M30" s="61"/>
      <c r="N30" s="143"/>
      <c r="O30" s="13">
        <f t="shared" si="2"/>
        <v>0</v>
      </c>
      <c r="P30" s="62"/>
      <c r="Q30" s="143"/>
      <c r="R30" s="30">
        <f t="shared" si="3"/>
        <v>0</v>
      </c>
      <c r="S30" s="61"/>
      <c r="T30" s="143"/>
      <c r="U30" s="13">
        <f t="shared" si="4"/>
        <v>0</v>
      </c>
      <c r="V30" s="62"/>
      <c r="W30" s="143"/>
      <c r="X30" s="13">
        <f t="shared" si="5"/>
        <v>0</v>
      </c>
      <c r="Y30" s="62"/>
      <c r="Z30" s="143"/>
      <c r="AA30" s="13">
        <f t="shared" si="27"/>
        <v>0</v>
      </c>
      <c r="AB30" s="62"/>
      <c r="AC30" s="143"/>
      <c r="AD30" s="13">
        <f t="shared" si="28"/>
        <v>0</v>
      </c>
      <c r="AE30" s="62"/>
      <c r="AF30" s="143"/>
      <c r="AG30" s="13">
        <f>AD30+AE30-AF30</f>
        <v>0</v>
      </c>
      <c r="AH30" s="62"/>
      <c r="AI30" s="143"/>
      <c r="AJ30" s="13">
        <f t="shared" si="30"/>
        <v>0</v>
      </c>
      <c r="AK30" s="62"/>
      <c r="AL30" s="143"/>
      <c r="AM30" s="13">
        <f t="shared" si="6"/>
        <v>0</v>
      </c>
      <c r="AN30" s="62"/>
      <c r="AO30" s="143"/>
      <c r="AP30" s="13">
        <f t="shared" si="7"/>
        <v>0</v>
      </c>
      <c r="AQ30" s="62"/>
      <c r="AR30" s="143"/>
      <c r="AS30" s="13">
        <f t="shared" si="8"/>
        <v>0</v>
      </c>
      <c r="AT30" s="62"/>
      <c r="AU30" s="143"/>
      <c r="AV30" s="13">
        <f t="shared" si="9"/>
        <v>0</v>
      </c>
      <c r="AW30" s="62"/>
      <c r="AX30" s="143"/>
      <c r="AY30" s="13">
        <f t="shared" si="10"/>
        <v>0</v>
      </c>
      <c r="AZ30" s="62"/>
      <c r="BA30" s="143"/>
      <c r="BB30" s="13">
        <f t="shared" si="11"/>
        <v>0</v>
      </c>
      <c r="BC30" s="62"/>
      <c r="BD30" s="143"/>
      <c r="BE30" s="13">
        <f t="shared" si="12"/>
        <v>0</v>
      </c>
      <c r="BF30" s="62"/>
      <c r="BG30" s="143"/>
      <c r="BH30" s="13">
        <f t="shared" si="13"/>
        <v>0</v>
      </c>
      <c r="BI30" s="184"/>
      <c r="BJ30" s="143"/>
      <c r="BK30" s="13">
        <f t="shared" si="14"/>
        <v>0</v>
      </c>
      <c r="BL30" s="62"/>
      <c r="BM30" s="143"/>
      <c r="BN30" s="13">
        <f t="shared" si="15"/>
        <v>0</v>
      </c>
      <c r="BO30" s="62"/>
      <c r="BP30" s="143"/>
      <c r="BQ30" s="13">
        <f t="shared" si="16"/>
        <v>0</v>
      </c>
      <c r="BR30" s="62"/>
      <c r="BS30" s="143"/>
      <c r="BT30" s="13">
        <f t="shared" si="17"/>
        <v>0</v>
      </c>
      <c r="BU30" s="62"/>
      <c r="BV30" s="143"/>
      <c r="BW30" s="13">
        <f t="shared" si="18"/>
        <v>0</v>
      </c>
      <c r="BX30" s="62"/>
      <c r="BY30" s="143"/>
      <c r="BZ30" s="13">
        <f t="shared" si="19"/>
        <v>0</v>
      </c>
      <c r="CA30" s="62"/>
      <c r="CB30" s="143"/>
      <c r="CC30" s="13">
        <f t="shared" si="20"/>
        <v>0</v>
      </c>
      <c r="CD30" s="62"/>
      <c r="CE30" s="143"/>
      <c r="CF30" s="13">
        <f t="shared" si="21"/>
        <v>0</v>
      </c>
      <c r="CG30" s="62"/>
      <c r="CH30" s="143"/>
      <c r="CI30" s="13">
        <f t="shared" si="31"/>
        <v>0</v>
      </c>
      <c r="CJ30" s="62"/>
      <c r="CK30" s="143"/>
      <c r="CL30" s="13">
        <f t="shared" si="32"/>
        <v>0</v>
      </c>
      <c r="CM30" s="62"/>
      <c r="CN30" s="143"/>
      <c r="CO30" s="13">
        <f t="shared" si="22"/>
        <v>0</v>
      </c>
      <c r="CP30" s="62"/>
      <c r="CQ30" s="143"/>
      <c r="CR30" s="13">
        <f t="shared" si="33"/>
        <v>0</v>
      </c>
      <c r="CS30" s="61"/>
      <c r="CT30" s="143"/>
      <c r="CU30" s="14">
        <f t="shared" si="23"/>
        <v>0</v>
      </c>
      <c r="CV30" s="5">
        <f t="shared" si="24"/>
        <v>0</v>
      </c>
      <c r="CW30" s="4">
        <f t="shared" si="24"/>
        <v>0</v>
      </c>
      <c r="CX30" s="6">
        <f t="shared" si="25"/>
        <v>0</v>
      </c>
      <c r="CY30" s="162">
        <v>0</v>
      </c>
      <c r="CZ30" s="171">
        <f t="shared" si="26"/>
        <v>0</v>
      </c>
      <c r="DB30" s="2">
        <f t="shared" si="34"/>
        <v>0</v>
      </c>
      <c r="DC30" s="61"/>
      <c r="DD30" s="143"/>
      <c r="DE30" s="149">
        <f t="shared" si="35"/>
        <v>0</v>
      </c>
    </row>
    <row r="31" spans="1:109" ht="15.75" customHeight="1">
      <c r="A31" s="33"/>
      <c r="B31" s="3"/>
      <c r="C31" s="104"/>
      <c r="D31" s="34"/>
      <c r="E31" s="34"/>
      <c r="F31" s="14">
        <v>0</v>
      </c>
      <c r="G31" s="62"/>
      <c r="H31" s="143"/>
      <c r="I31" s="13">
        <f t="shared" si="0"/>
        <v>0</v>
      </c>
      <c r="J31" s="62"/>
      <c r="K31" s="143"/>
      <c r="L31" s="13">
        <f t="shared" si="1"/>
        <v>0</v>
      </c>
      <c r="M31" s="61"/>
      <c r="N31" s="143"/>
      <c r="O31" s="13">
        <f t="shared" si="2"/>
        <v>0</v>
      </c>
      <c r="P31" s="62"/>
      <c r="Q31" s="143"/>
      <c r="R31" s="30">
        <f t="shared" si="3"/>
        <v>0</v>
      </c>
      <c r="S31" s="61"/>
      <c r="T31" s="143"/>
      <c r="U31" s="13">
        <f t="shared" si="4"/>
        <v>0</v>
      </c>
      <c r="V31" s="62"/>
      <c r="W31" s="143"/>
      <c r="X31" s="13">
        <f t="shared" si="5"/>
        <v>0</v>
      </c>
      <c r="Y31" s="62"/>
      <c r="Z31" s="143"/>
      <c r="AA31" s="13">
        <f t="shared" si="27"/>
        <v>0</v>
      </c>
      <c r="AB31" s="62"/>
      <c r="AC31" s="143"/>
      <c r="AD31" s="13">
        <f t="shared" si="28"/>
        <v>0</v>
      </c>
      <c r="AE31" s="62"/>
      <c r="AF31" s="143"/>
      <c r="AG31" s="13">
        <f t="shared" si="29"/>
        <v>0</v>
      </c>
      <c r="AH31" s="62"/>
      <c r="AI31" s="143"/>
      <c r="AJ31" s="13">
        <f t="shared" si="30"/>
        <v>0</v>
      </c>
      <c r="AK31" s="62"/>
      <c r="AL31" s="143"/>
      <c r="AM31" s="13">
        <f t="shared" si="6"/>
        <v>0</v>
      </c>
      <c r="AN31" s="62"/>
      <c r="AO31" s="143"/>
      <c r="AP31" s="13">
        <f t="shared" si="7"/>
        <v>0</v>
      </c>
      <c r="AQ31" s="62"/>
      <c r="AR31" s="143"/>
      <c r="AS31" s="13">
        <f t="shared" si="8"/>
        <v>0</v>
      </c>
      <c r="AT31" s="62"/>
      <c r="AU31" s="143"/>
      <c r="AV31" s="13">
        <f t="shared" si="9"/>
        <v>0</v>
      </c>
      <c r="AW31" s="62"/>
      <c r="AX31" s="143"/>
      <c r="AY31" s="13">
        <f t="shared" si="10"/>
        <v>0</v>
      </c>
      <c r="AZ31" s="62"/>
      <c r="BA31" s="143"/>
      <c r="BB31" s="13">
        <f t="shared" si="11"/>
        <v>0</v>
      </c>
      <c r="BC31" s="62"/>
      <c r="BD31" s="143"/>
      <c r="BE31" s="13">
        <f t="shared" si="12"/>
        <v>0</v>
      </c>
      <c r="BF31" s="62"/>
      <c r="BG31" s="143"/>
      <c r="BH31" s="13">
        <f t="shared" si="13"/>
        <v>0</v>
      </c>
      <c r="BI31" s="184"/>
      <c r="BJ31" s="143"/>
      <c r="BK31" s="13">
        <f t="shared" si="14"/>
        <v>0</v>
      </c>
      <c r="BL31" s="62"/>
      <c r="BM31" s="143"/>
      <c r="BN31" s="13">
        <f t="shared" si="15"/>
        <v>0</v>
      </c>
      <c r="BO31" s="62"/>
      <c r="BP31" s="143"/>
      <c r="BQ31" s="13">
        <f t="shared" si="16"/>
        <v>0</v>
      </c>
      <c r="BR31" s="62"/>
      <c r="BS31" s="143"/>
      <c r="BT31" s="13">
        <f t="shared" si="17"/>
        <v>0</v>
      </c>
      <c r="BU31" s="62"/>
      <c r="BV31" s="143"/>
      <c r="BW31" s="13">
        <f t="shared" si="18"/>
        <v>0</v>
      </c>
      <c r="BX31" s="62"/>
      <c r="BY31" s="143"/>
      <c r="BZ31" s="13">
        <f t="shared" si="19"/>
        <v>0</v>
      </c>
      <c r="CA31" s="62"/>
      <c r="CB31" s="143"/>
      <c r="CC31" s="13">
        <f t="shared" si="20"/>
        <v>0</v>
      </c>
      <c r="CD31" s="62"/>
      <c r="CE31" s="143"/>
      <c r="CF31" s="13">
        <f t="shared" si="21"/>
        <v>0</v>
      </c>
      <c r="CG31" s="62"/>
      <c r="CH31" s="143"/>
      <c r="CI31" s="13">
        <f t="shared" si="31"/>
        <v>0</v>
      </c>
      <c r="CJ31" s="62"/>
      <c r="CK31" s="143"/>
      <c r="CL31" s="13">
        <f t="shared" si="32"/>
        <v>0</v>
      </c>
      <c r="CM31" s="62"/>
      <c r="CN31" s="143"/>
      <c r="CO31" s="13">
        <f t="shared" si="22"/>
        <v>0</v>
      </c>
      <c r="CP31" s="62"/>
      <c r="CQ31" s="143"/>
      <c r="CR31" s="13">
        <f t="shared" si="33"/>
        <v>0</v>
      </c>
      <c r="CS31" s="61"/>
      <c r="CT31" s="143"/>
      <c r="CU31" s="14">
        <f t="shared" si="23"/>
        <v>0</v>
      </c>
      <c r="CV31" s="5">
        <f t="shared" si="24"/>
        <v>0</v>
      </c>
      <c r="CW31" s="4">
        <f t="shared" si="24"/>
        <v>0</v>
      </c>
      <c r="CX31" s="6">
        <f t="shared" si="25"/>
        <v>0</v>
      </c>
      <c r="CY31" s="162">
        <v>0</v>
      </c>
      <c r="CZ31" s="171">
        <f t="shared" si="26"/>
        <v>0</v>
      </c>
      <c r="DB31" s="2">
        <f t="shared" si="34"/>
        <v>0</v>
      </c>
      <c r="DC31" s="61"/>
      <c r="DD31" s="143"/>
      <c r="DE31" s="149">
        <f t="shared" si="35"/>
        <v>0</v>
      </c>
    </row>
    <row r="32" spans="1:109" ht="15.75" customHeight="1">
      <c r="A32" s="33" t="s">
        <v>73</v>
      </c>
      <c r="B32" s="160" t="s">
        <v>74</v>
      </c>
      <c r="C32" s="161" t="s">
        <v>21</v>
      </c>
      <c r="D32" s="159">
        <v>10</v>
      </c>
      <c r="E32" s="159" t="s">
        <v>26</v>
      </c>
      <c r="F32" s="14">
        <v>0</v>
      </c>
      <c r="G32" s="62"/>
      <c r="H32" s="143"/>
      <c r="I32" s="13">
        <f t="shared" si="0"/>
        <v>0</v>
      </c>
      <c r="J32" s="62"/>
      <c r="K32" s="143"/>
      <c r="L32" s="13">
        <f t="shared" si="1"/>
        <v>0</v>
      </c>
      <c r="M32" s="61">
        <v>5</v>
      </c>
      <c r="N32" s="143"/>
      <c r="O32" s="13">
        <f t="shared" si="2"/>
        <v>5</v>
      </c>
      <c r="P32" s="62"/>
      <c r="Q32" s="143">
        <v>5</v>
      </c>
      <c r="R32" s="30">
        <f t="shared" si="3"/>
        <v>0</v>
      </c>
      <c r="S32" s="61"/>
      <c r="T32" s="143"/>
      <c r="U32" s="13">
        <f t="shared" si="4"/>
        <v>0</v>
      </c>
      <c r="V32" s="62"/>
      <c r="W32" s="143"/>
      <c r="X32" s="13">
        <f t="shared" si="5"/>
        <v>0</v>
      </c>
      <c r="Y32" s="62"/>
      <c r="Z32" s="143"/>
      <c r="AA32" s="13">
        <f t="shared" si="27"/>
        <v>0</v>
      </c>
      <c r="AB32" s="62"/>
      <c r="AC32" s="143"/>
      <c r="AD32" s="13">
        <f t="shared" si="28"/>
        <v>0</v>
      </c>
      <c r="AE32" s="62"/>
      <c r="AF32" s="143"/>
      <c r="AG32" s="13">
        <f t="shared" si="29"/>
        <v>0</v>
      </c>
      <c r="AH32" s="62"/>
      <c r="AI32" s="143"/>
      <c r="AJ32" s="13">
        <f t="shared" si="30"/>
        <v>0</v>
      </c>
      <c r="AK32" s="62"/>
      <c r="AL32" s="143"/>
      <c r="AM32" s="13">
        <f t="shared" si="6"/>
        <v>0</v>
      </c>
      <c r="AN32" s="62"/>
      <c r="AO32" s="143"/>
      <c r="AP32" s="13">
        <f t="shared" si="7"/>
        <v>0</v>
      </c>
      <c r="AQ32" s="62"/>
      <c r="AR32" s="143"/>
      <c r="AS32" s="13">
        <f t="shared" si="8"/>
        <v>0</v>
      </c>
      <c r="AT32" s="62"/>
      <c r="AU32" s="143"/>
      <c r="AV32" s="13">
        <f t="shared" si="9"/>
        <v>0</v>
      </c>
      <c r="AW32" s="62"/>
      <c r="AX32" s="143"/>
      <c r="AY32" s="13">
        <f t="shared" si="10"/>
        <v>0</v>
      </c>
      <c r="AZ32" s="62"/>
      <c r="BA32" s="143"/>
      <c r="BB32" s="13">
        <f t="shared" si="11"/>
        <v>0</v>
      </c>
      <c r="BC32" s="62"/>
      <c r="BD32" s="143"/>
      <c r="BE32" s="13">
        <f t="shared" si="12"/>
        <v>0</v>
      </c>
      <c r="BF32" s="62"/>
      <c r="BG32" s="143"/>
      <c r="BH32" s="13">
        <f t="shared" si="13"/>
        <v>0</v>
      </c>
      <c r="BI32" s="184"/>
      <c r="BJ32" s="143"/>
      <c r="BK32" s="13">
        <f t="shared" si="14"/>
        <v>0</v>
      </c>
      <c r="BL32" s="62"/>
      <c r="BM32" s="143"/>
      <c r="BN32" s="13">
        <f t="shared" si="15"/>
        <v>0</v>
      </c>
      <c r="BO32" s="62"/>
      <c r="BP32" s="143"/>
      <c r="BQ32" s="13">
        <f t="shared" si="16"/>
        <v>0</v>
      </c>
      <c r="BR32" s="62"/>
      <c r="BS32" s="143"/>
      <c r="BT32" s="13">
        <f t="shared" si="17"/>
        <v>0</v>
      </c>
      <c r="BU32" s="62"/>
      <c r="BV32" s="143"/>
      <c r="BW32" s="13">
        <f t="shared" si="18"/>
        <v>0</v>
      </c>
      <c r="BX32" s="62"/>
      <c r="BY32" s="143"/>
      <c r="BZ32" s="13">
        <f t="shared" si="19"/>
        <v>0</v>
      </c>
      <c r="CA32" s="62"/>
      <c r="CB32" s="143"/>
      <c r="CC32" s="13">
        <f t="shared" si="20"/>
        <v>0</v>
      </c>
      <c r="CD32" s="62"/>
      <c r="CE32" s="143"/>
      <c r="CF32" s="13">
        <f t="shared" si="21"/>
        <v>0</v>
      </c>
      <c r="CG32" s="62"/>
      <c r="CH32" s="143"/>
      <c r="CI32" s="13">
        <f t="shared" si="31"/>
        <v>0</v>
      </c>
      <c r="CJ32" s="62"/>
      <c r="CK32" s="143"/>
      <c r="CL32" s="13">
        <f t="shared" si="32"/>
        <v>0</v>
      </c>
      <c r="CM32" s="62"/>
      <c r="CN32" s="143"/>
      <c r="CO32" s="13">
        <f t="shared" si="22"/>
        <v>0</v>
      </c>
      <c r="CP32" s="62"/>
      <c r="CQ32" s="143"/>
      <c r="CR32" s="13">
        <f t="shared" si="33"/>
        <v>0</v>
      </c>
      <c r="CS32" s="61"/>
      <c r="CT32" s="143"/>
      <c r="CU32" s="14">
        <f t="shared" si="23"/>
        <v>0</v>
      </c>
      <c r="CV32" s="5">
        <f t="shared" si="24"/>
        <v>5</v>
      </c>
      <c r="CW32" s="4">
        <f t="shared" si="24"/>
        <v>5</v>
      </c>
      <c r="CX32" s="6">
        <f t="shared" si="25"/>
        <v>0</v>
      </c>
      <c r="CY32" s="162">
        <v>0</v>
      </c>
      <c r="CZ32" s="171">
        <f t="shared" si="26"/>
        <v>0</v>
      </c>
      <c r="DB32" s="2">
        <f t="shared" si="34"/>
        <v>0</v>
      </c>
      <c r="DC32" s="61"/>
      <c r="DD32" s="143"/>
      <c r="DE32" s="149">
        <f t="shared" si="35"/>
        <v>0</v>
      </c>
    </row>
    <row r="33" spans="1:109" ht="15.75" customHeight="1">
      <c r="A33" s="101"/>
      <c r="B33" s="42" t="s">
        <v>75</v>
      </c>
      <c r="C33" s="106" t="s">
        <v>21</v>
      </c>
      <c r="D33" s="35"/>
      <c r="E33" s="60" t="s">
        <v>51</v>
      </c>
      <c r="F33" s="14">
        <v>0</v>
      </c>
      <c r="G33" s="62"/>
      <c r="H33" s="143"/>
      <c r="I33" s="13">
        <f t="shared" si="0"/>
        <v>0</v>
      </c>
      <c r="J33" s="62"/>
      <c r="K33" s="143"/>
      <c r="L33" s="13">
        <f t="shared" si="1"/>
        <v>0</v>
      </c>
      <c r="M33" s="61"/>
      <c r="N33" s="143"/>
      <c r="O33" s="13">
        <f t="shared" si="2"/>
        <v>0</v>
      </c>
      <c r="P33" s="62"/>
      <c r="Q33" s="143"/>
      <c r="R33" s="13">
        <f t="shared" si="3"/>
        <v>0</v>
      </c>
      <c r="S33" s="61"/>
      <c r="T33" s="143"/>
      <c r="U33" s="13">
        <f t="shared" si="4"/>
        <v>0</v>
      </c>
      <c r="V33" s="62"/>
      <c r="W33" s="143"/>
      <c r="X33" s="13">
        <f t="shared" si="5"/>
        <v>0</v>
      </c>
      <c r="Y33" s="62"/>
      <c r="Z33" s="143"/>
      <c r="AA33" s="13">
        <f t="shared" si="27"/>
        <v>0</v>
      </c>
      <c r="AB33" s="62"/>
      <c r="AC33" s="143"/>
      <c r="AD33" s="13">
        <f t="shared" si="28"/>
        <v>0</v>
      </c>
      <c r="AE33" s="62"/>
      <c r="AF33" s="143"/>
      <c r="AG33" s="13">
        <f t="shared" si="29"/>
        <v>0</v>
      </c>
      <c r="AH33" s="62"/>
      <c r="AI33" s="143"/>
      <c r="AJ33" s="13">
        <f t="shared" si="30"/>
        <v>0</v>
      </c>
      <c r="AK33" s="62"/>
      <c r="AL33" s="143"/>
      <c r="AM33" s="13">
        <f t="shared" si="6"/>
        <v>0</v>
      </c>
      <c r="AN33" s="62"/>
      <c r="AO33" s="143"/>
      <c r="AP33" s="13">
        <f t="shared" si="7"/>
        <v>0</v>
      </c>
      <c r="AQ33" s="62"/>
      <c r="AR33" s="143"/>
      <c r="AS33" s="13">
        <f t="shared" si="8"/>
        <v>0</v>
      </c>
      <c r="AT33" s="62"/>
      <c r="AU33" s="143"/>
      <c r="AV33" s="13">
        <f t="shared" si="9"/>
        <v>0</v>
      </c>
      <c r="AW33" s="62"/>
      <c r="AX33" s="143"/>
      <c r="AY33" s="13">
        <f t="shared" si="10"/>
        <v>0</v>
      </c>
      <c r="AZ33" s="62"/>
      <c r="BA33" s="143"/>
      <c r="BB33" s="13">
        <f t="shared" si="11"/>
        <v>0</v>
      </c>
      <c r="BC33" s="62"/>
      <c r="BD33" s="143"/>
      <c r="BE33" s="13">
        <f t="shared" si="12"/>
        <v>0</v>
      </c>
      <c r="BF33" s="62"/>
      <c r="BG33" s="143"/>
      <c r="BH33" s="13">
        <f t="shared" si="13"/>
        <v>0</v>
      </c>
      <c r="BI33" s="184"/>
      <c r="BJ33" s="143"/>
      <c r="BK33" s="13">
        <f t="shared" si="14"/>
        <v>0</v>
      </c>
      <c r="BL33" s="62"/>
      <c r="BM33" s="143"/>
      <c r="BN33" s="13">
        <f t="shared" si="15"/>
        <v>0</v>
      </c>
      <c r="BO33" s="62"/>
      <c r="BP33" s="143"/>
      <c r="BQ33" s="13">
        <f t="shared" si="16"/>
        <v>0</v>
      </c>
      <c r="BR33" s="62"/>
      <c r="BS33" s="143"/>
      <c r="BT33" s="13">
        <f t="shared" si="17"/>
        <v>0</v>
      </c>
      <c r="BU33" s="62"/>
      <c r="BV33" s="143"/>
      <c r="BW33" s="13">
        <f t="shared" si="18"/>
        <v>0</v>
      </c>
      <c r="BX33" s="62"/>
      <c r="BY33" s="143"/>
      <c r="BZ33" s="13">
        <f t="shared" si="19"/>
        <v>0</v>
      </c>
      <c r="CA33" s="62"/>
      <c r="CB33" s="143"/>
      <c r="CC33" s="13">
        <f t="shared" si="20"/>
        <v>0</v>
      </c>
      <c r="CD33" s="62"/>
      <c r="CE33" s="143"/>
      <c r="CF33" s="13">
        <f t="shared" si="21"/>
        <v>0</v>
      </c>
      <c r="CG33" s="62"/>
      <c r="CH33" s="143"/>
      <c r="CI33" s="13">
        <f t="shared" si="31"/>
        <v>0</v>
      </c>
      <c r="CJ33" s="62"/>
      <c r="CK33" s="143"/>
      <c r="CL33" s="13">
        <f t="shared" si="32"/>
        <v>0</v>
      </c>
      <c r="CM33" s="62"/>
      <c r="CN33" s="143"/>
      <c r="CO33" s="13">
        <f t="shared" si="22"/>
        <v>0</v>
      </c>
      <c r="CP33" s="62"/>
      <c r="CQ33" s="143"/>
      <c r="CR33" s="13">
        <f t="shared" si="33"/>
        <v>0</v>
      </c>
      <c r="CS33" s="61"/>
      <c r="CT33" s="143"/>
      <c r="CU33" s="14">
        <f t="shared" si="23"/>
        <v>0</v>
      </c>
      <c r="CV33" s="5">
        <f t="shared" si="24"/>
        <v>0</v>
      </c>
      <c r="CW33" s="4">
        <f t="shared" si="24"/>
        <v>0</v>
      </c>
      <c r="CX33" s="6">
        <f t="shared" si="25"/>
        <v>0</v>
      </c>
      <c r="CY33" s="162">
        <v>0</v>
      </c>
      <c r="CZ33" s="171">
        <f t="shared" si="26"/>
        <v>0</v>
      </c>
      <c r="DB33" s="2">
        <f t="shared" si="34"/>
        <v>0</v>
      </c>
      <c r="DC33" s="61"/>
      <c r="DD33" s="143"/>
      <c r="DE33" s="149">
        <f t="shared" si="35"/>
        <v>0</v>
      </c>
    </row>
    <row r="34" spans="1:109" ht="15.75" customHeight="1">
      <c r="A34" s="123"/>
      <c r="B34" s="56" t="s">
        <v>184</v>
      </c>
      <c r="C34" s="109" t="s">
        <v>21</v>
      </c>
      <c r="D34" s="34"/>
      <c r="E34" s="9" t="s">
        <v>51</v>
      </c>
      <c r="F34" s="14">
        <v>0</v>
      </c>
      <c r="G34" s="62"/>
      <c r="H34" s="143"/>
      <c r="I34" s="13">
        <f t="shared" si="0"/>
        <v>0</v>
      </c>
      <c r="J34" s="62"/>
      <c r="K34" s="143"/>
      <c r="L34" s="13">
        <f>I34+J34-K34</f>
        <v>0</v>
      </c>
      <c r="M34" s="61"/>
      <c r="N34" s="143"/>
      <c r="O34" s="13">
        <f t="shared" si="2"/>
        <v>0</v>
      </c>
      <c r="P34" s="62"/>
      <c r="Q34" s="143"/>
      <c r="R34" s="30">
        <f t="shared" si="3"/>
        <v>0</v>
      </c>
      <c r="S34" s="61"/>
      <c r="T34" s="143"/>
      <c r="U34" s="13">
        <f t="shared" si="4"/>
        <v>0</v>
      </c>
      <c r="V34" s="62"/>
      <c r="W34" s="143"/>
      <c r="X34" s="13">
        <f t="shared" si="5"/>
        <v>0</v>
      </c>
      <c r="Y34" s="62"/>
      <c r="Z34" s="143"/>
      <c r="AA34" s="13">
        <f t="shared" si="27"/>
        <v>0</v>
      </c>
      <c r="AB34" s="62"/>
      <c r="AC34" s="143"/>
      <c r="AD34" s="13">
        <f t="shared" si="28"/>
        <v>0</v>
      </c>
      <c r="AE34" s="62"/>
      <c r="AF34" s="143"/>
      <c r="AG34" s="13">
        <f t="shared" si="29"/>
        <v>0</v>
      </c>
      <c r="AH34" s="62"/>
      <c r="AI34" s="143"/>
      <c r="AJ34" s="13">
        <f t="shared" si="30"/>
        <v>0</v>
      </c>
      <c r="AK34" s="62"/>
      <c r="AL34" s="143"/>
      <c r="AM34" s="13">
        <f t="shared" si="6"/>
        <v>0</v>
      </c>
      <c r="AN34" s="62"/>
      <c r="AO34" s="143"/>
      <c r="AP34" s="13">
        <f t="shared" si="7"/>
        <v>0</v>
      </c>
      <c r="AQ34" s="62"/>
      <c r="AR34" s="143"/>
      <c r="AS34" s="13">
        <f t="shared" si="8"/>
        <v>0</v>
      </c>
      <c r="AT34" s="62"/>
      <c r="AU34" s="143"/>
      <c r="AV34" s="13">
        <f t="shared" si="9"/>
        <v>0</v>
      </c>
      <c r="AW34" s="62"/>
      <c r="AX34" s="143"/>
      <c r="AY34" s="13">
        <f t="shared" si="10"/>
        <v>0</v>
      </c>
      <c r="AZ34" s="62"/>
      <c r="BA34" s="143"/>
      <c r="BB34" s="13">
        <f t="shared" si="11"/>
        <v>0</v>
      </c>
      <c r="BC34" s="62"/>
      <c r="BD34" s="143"/>
      <c r="BE34" s="13">
        <f t="shared" si="12"/>
        <v>0</v>
      </c>
      <c r="BF34" s="62"/>
      <c r="BG34" s="143"/>
      <c r="BH34" s="13">
        <f t="shared" si="13"/>
        <v>0</v>
      </c>
      <c r="BI34" s="184"/>
      <c r="BJ34" s="143"/>
      <c r="BK34" s="13">
        <f t="shared" si="14"/>
        <v>0</v>
      </c>
      <c r="BL34" s="62"/>
      <c r="BM34" s="143"/>
      <c r="BN34" s="13">
        <f t="shared" si="15"/>
        <v>0</v>
      </c>
      <c r="BO34" s="62"/>
      <c r="BP34" s="143"/>
      <c r="BQ34" s="13">
        <f t="shared" si="16"/>
        <v>0</v>
      </c>
      <c r="BR34" s="62"/>
      <c r="BS34" s="143"/>
      <c r="BT34" s="13">
        <f t="shared" si="17"/>
        <v>0</v>
      </c>
      <c r="BU34" s="62"/>
      <c r="BV34" s="143"/>
      <c r="BW34" s="13">
        <f t="shared" si="18"/>
        <v>0</v>
      </c>
      <c r="BX34" s="62"/>
      <c r="BY34" s="143"/>
      <c r="BZ34" s="13">
        <f t="shared" si="19"/>
        <v>0</v>
      </c>
      <c r="CA34" s="62"/>
      <c r="CB34" s="143"/>
      <c r="CC34" s="13">
        <f t="shared" si="20"/>
        <v>0</v>
      </c>
      <c r="CD34" s="62"/>
      <c r="CE34" s="143"/>
      <c r="CF34" s="13">
        <f t="shared" si="21"/>
        <v>0</v>
      </c>
      <c r="CG34" s="62"/>
      <c r="CH34" s="143"/>
      <c r="CI34" s="13">
        <f t="shared" si="31"/>
        <v>0</v>
      </c>
      <c r="CJ34" s="62"/>
      <c r="CK34" s="143"/>
      <c r="CL34" s="13">
        <f t="shared" si="32"/>
        <v>0</v>
      </c>
      <c r="CM34" s="62"/>
      <c r="CN34" s="143"/>
      <c r="CO34" s="13">
        <f t="shared" si="22"/>
        <v>0</v>
      </c>
      <c r="CP34" s="62"/>
      <c r="CQ34" s="143"/>
      <c r="CR34" s="13">
        <f t="shared" si="33"/>
        <v>0</v>
      </c>
      <c r="CS34" s="61"/>
      <c r="CT34" s="143"/>
      <c r="CU34" s="14">
        <f t="shared" si="23"/>
        <v>0</v>
      </c>
      <c r="CV34" s="5">
        <f t="shared" si="24"/>
        <v>0</v>
      </c>
      <c r="CW34" s="4">
        <f t="shared" si="24"/>
        <v>0</v>
      </c>
      <c r="CX34" s="6">
        <f t="shared" si="25"/>
        <v>0</v>
      </c>
      <c r="CY34" s="162">
        <v>0</v>
      </c>
      <c r="CZ34" s="171">
        <f t="shared" si="26"/>
        <v>0</v>
      </c>
      <c r="DB34" s="2">
        <f t="shared" si="34"/>
        <v>0</v>
      </c>
      <c r="DC34" s="61"/>
      <c r="DD34" s="143"/>
      <c r="DE34" s="149">
        <f t="shared" si="35"/>
        <v>0</v>
      </c>
    </row>
    <row r="35" spans="1:109" ht="15.75" customHeight="1">
      <c r="A35" s="33" t="s">
        <v>62</v>
      </c>
      <c r="B35" s="3" t="s">
        <v>234</v>
      </c>
      <c r="C35" s="104" t="s">
        <v>25</v>
      </c>
      <c r="D35" s="34"/>
      <c r="E35" s="34" t="s">
        <v>26</v>
      </c>
      <c r="F35" s="14">
        <v>0</v>
      </c>
      <c r="G35" s="62"/>
      <c r="H35" s="143"/>
      <c r="I35" s="13">
        <f t="shared" si="0"/>
        <v>0</v>
      </c>
      <c r="J35" s="62"/>
      <c r="K35" s="143"/>
      <c r="L35" s="13">
        <f>I35+J35-K35</f>
        <v>0</v>
      </c>
      <c r="M35" s="61"/>
      <c r="N35" s="143"/>
      <c r="O35" s="13">
        <f t="shared" si="2"/>
        <v>0</v>
      </c>
      <c r="P35" s="62"/>
      <c r="Q35" s="143"/>
      <c r="R35" s="30">
        <f t="shared" si="3"/>
        <v>0</v>
      </c>
      <c r="S35" s="61"/>
      <c r="T35" s="143"/>
      <c r="U35" s="13">
        <f t="shared" si="4"/>
        <v>0</v>
      </c>
      <c r="V35" s="62"/>
      <c r="W35" s="143"/>
      <c r="X35" s="13">
        <f t="shared" si="5"/>
        <v>0</v>
      </c>
      <c r="Y35" s="62"/>
      <c r="Z35" s="143"/>
      <c r="AA35" s="13">
        <f t="shared" si="27"/>
        <v>0</v>
      </c>
      <c r="AB35" s="62"/>
      <c r="AC35" s="143"/>
      <c r="AD35" s="13">
        <f t="shared" si="28"/>
        <v>0</v>
      </c>
      <c r="AE35" s="62"/>
      <c r="AF35" s="143"/>
      <c r="AG35" s="13">
        <f t="shared" si="29"/>
        <v>0</v>
      </c>
      <c r="AH35" s="62"/>
      <c r="AI35" s="143"/>
      <c r="AJ35" s="13">
        <f t="shared" si="30"/>
        <v>0</v>
      </c>
      <c r="AK35" s="62"/>
      <c r="AL35" s="143"/>
      <c r="AM35" s="13">
        <f t="shared" si="6"/>
        <v>0</v>
      </c>
      <c r="AN35" s="62"/>
      <c r="AO35" s="143"/>
      <c r="AP35" s="13">
        <f t="shared" si="7"/>
        <v>0</v>
      </c>
      <c r="AQ35" s="62"/>
      <c r="AR35" s="143"/>
      <c r="AS35" s="13">
        <f t="shared" si="8"/>
        <v>0</v>
      </c>
      <c r="AT35" s="62"/>
      <c r="AU35" s="143"/>
      <c r="AV35" s="13">
        <f t="shared" si="9"/>
        <v>0</v>
      </c>
      <c r="AW35" s="62"/>
      <c r="AX35" s="143"/>
      <c r="AY35" s="13">
        <f t="shared" si="10"/>
        <v>0</v>
      </c>
      <c r="AZ35" s="62"/>
      <c r="BA35" s="143"/>
      <c r="BB35" s="13">
        <f t="shared" si="11"/>
        <v>0</v>
      </c>
      <c r="BC35" s="62"/>
      <c r="BD35" s="143"/>
      <c r="BE35" s="13">
        <f t="shared" si="12"/>
        <v>0</v>
      </c>
      <c r="BF35" s="62"/>
      <c r="BG35" s="143"/>
      <c r="BH35" s="13">
        <f t="shared" si="13"/>
        <v>0</v>
      </c>
      <c r="BI35" s="184"/>
      <c r="BJ35" s="143"/>
      <c r="BK35" s="13">
        <f t="shared" si="14"/>
        <v>0</v>
      </c>
      <c r="BL35" s="62"/>
      <c r="BM35" s="143"/>
      <c r="BN35" s="13">
        <f t="shared" si="15"/>
        <v>0</v>
      </c>
      <c r="BO35" s="62"/>
      <c r="BP35" s="143"/>
      <c r="BQ35" s="13">
        <f t="shared" si="16"/>
        <v>0</v>
      </c>
      <c r="BR35" s="62"/>
      <c r="BS35" s="143"/>
      <c r="BT35" s="13">
        <f t="shared" si="17"/>
        <v>0</v>
      </c>
      <c r="BU35" s="62"/>
      <c r="BV35" s="143"/>
      <c r="BW35" s="13">
        <f t="shared" si="18"/>
        <v>0</v>
      </c>
      <c r="BX35" s="62"/>
      <c r="BY35" s="143"/>
      <c r="BZ35" s="13">
        <f t="shared" si="19"/>
        <v>0</v>
      </c>
      <c r="CA35" s="62"/>
      <c r="CB35" s="143"/>
      <c r="CC35" s="13">
        <f t="shared" si="20"/>
        <v>0</v>
      </c>
      <c r="CD35" s="62"/>
      <c r="CE35" s="143"/>
      <c r="CF35" s="13">
        <f t="shared" si="21"/>
        <v>0</v>
      </c>
      <c r="CG35" s="62"/>
      <c r="CH35" s="143"/>
      <c r="CI35" s="13">
        <f t="shared" si="31"/>
        <v>0</v>
      </c>
      <c r="CJ35" s="62"/>
      <c r="CK35" s="143"/>
      <c r="CL35" s="13">
        <f t="shared" si="32"/>
        <v>0</v>
      </c>
      <c r="CM35" s="62"/>
      <c r="CN35" s="143"/>
      <c r="CO35" s="13">
        <f t="shared" si="22"/>
        <v>0</v>
      </c>
      <c r="CP35" s="62"/>
      <c r="CQ35" s="143"/>
      <c r="CR35" s="13">
        <f t="shared" si="33"/>
        <v>0</v>
      </c>
      <c r="CS35" s="61"/>
      <c r="CT35" s="143"/>
      <c r="CU35" s="14">
        <f t="shared" si="23"/>
        <v>0</v>
      </c>
      <c r="CV35" s="5">
        <f t="shared" si="24"/>
        <v>0</v>
      </c>
      <c r="CW35" s="4">
        <f t="shared" si="24"/>
        <v>0</v>
      </c>
      <c r="CX35" s="6">
        <f t="shared" si="25"/>
        <v>0</v>
      </c>
      <c r="CY35" s="162">
        <v>0</v>
      </c>
      <c r="CZ35" s="171">
        <f t="shared" si="26"/>
        <v>0</v>
      </c>
      <c r="DB35" s="2">
        <f t="shared" si="34"/>
        <v>0</v>
      </c>
      <c r="DC35" s="61"/>
      <c r="DD35" s="143"/>
      <c r="DE35" s="149">
        <f t="shared" si="35"/>
        <v>0</v>
      </c>
    </row>
    <row r="36" spans="1:109" ht="15.75" customHeight="1">
      <c r="A36" s="33"/>
      <c r="B36" s="7" t="s">
        <v>76</v>
      </c>
      <c r="C36" s="105" t="s">
        <v>77</v>
      </c>
      <c r="D36" s="35" t="s">
        <v>78</v>
      </c>
      <c r="E36" s="35" t="s">
        <v>51</v>
      </c>
      <c r="F36" s="14">
        <v>29</v>
      </c>
      <c r="G36" s="62"/>
      <c r="H36" s="143"/>
      <c r="I36" s="13">
        <f t="shared" si="0"/>
        <v>29</v>
      </c>
      <c r="J36" s="62"/>
      <c r="K36" s="143"/>
      <c r="L36" s="13">
        <f t="shared" si="1"/>
        <v>29</v>
      </c>
      <c r="M36" s="61">
        <v>5</v>
      </c>
      <c r="N36" s="143">
        <v>10</v>
      </c>
      <c r="O36" s="13">
        <f t="shared" si="2"/>
        <v>24</v>
      </c>
      <c r="P36" s="62"/>
      <c r="Q36" s="143">
        <f>4+8</f>
        <v>12</v>
      </c>
      <c r="R36" s="30">
        <f t="shared" si="3"/>
        <v>12</v>
      </c>
      <c r="S36" s="61">
        <f>8+8</f>
        <v>16</v>
      </c>
      <c r="T36" s="143">
        <f>4</f>
        <v>4</v>
      </c>
      <c r="U36" s="13">
        <f t="shared" si="4"/>
        <v>24</v>
      </c>
      <c r="V36" s="62">
        <v>6</v>
      </c>
      <c r="W36" s="143">
        <v>9</v>
      </c>
      <c r="X36" s="13">
        <f t="shared" si="5"/>
        <v>21</v>
      </c>
      <c r="Y36" s="62">
        <v>6</v>
      </c>
      <c r="Z36" s="143">
        <f>2+1</f>
        <v>3</v>
      </c>
      <c r="AA36" s="13">
        <f t="shared" si="27"/>
        <v>24</v>
      </c>
      <c r="AB36" s="62"/>
      <c r="AC36" s="143"/>
      <c r="AD36" s="13">
        <f t="shared" si="28"/>
        <v>24</v>
      </c>
      <c r="AE36" s="62">
        <v>6</v>
      </c>
      <c r="AF36" s="143">
        <v>2</v>
      </c>
      <c r="AG36" s="13">
        <f t="shared" si="29"/>
        <v>28</v>
      </c>
      <c r="AH36" s="62">
        <v>8</v>
      </c>
      <c r="AI36" s="143">
        <f>2</f>
        <v>2</v>
      </c>
      <c r="AJ36" s="13">
        <f t="shared" si="30"/>
        <v>34</v>
      </c>
      <c r="AK36" s="62">
        <v>8</v>
      </c>
      <c r="AL36" s="143">
        <v>7</v>
      </c>
      <c r="AM36" s="13">
        <f t="shared" si="6"/>
        <v>35</v>
      </c>
      <c r="AN36" s="62"/>
      <c r="AO36" s="143"/>
      <c r="AP36" s="13">
        <f t="shared" si="7"/>
        <v>35</v>
      </c>
      <c r="AQ36" s="62"/>
      <c r="AR36" s="143">
        <f>5+1</f>
        <v>6</v>
      </c>
      <c r="AS36" s="13">
        <f t="shared" si="8"/>
        <v>29</v>
      </c>
      <c r="AT36" s="62">
        <v>4</v>
      </c>
      <c r="AU36" s="143">
        <v>8</v>
      </c>
      <c r="AV36" s="13">
        <f t="shared" si="9"/>
        <v>25</v>
      </c>
      <c r="AW36" s="62"/>
      <c r="AX36" s="143"/>
      <c r="AY36" s="13">
        <f t="shared" si="10"/>
        <v>25</v>
      </c>
      <c r="AZ36" s="62">
        <v>4</v>
      </c>
      <c r="BA36" s="143">
        <v>5</v>
      </c>
      <c r="BB36" s="13">
        <f t="shared" si="11"/>
        <v>24</v>
      </c>
      <c r="BC36" s="62">
        <v>4</v>
      </c>
      <c r="BD36" s="143"/>
      <c r="BE36" s="13">
        <f t="shared" si="12"/>
        <v>28</v>
      </c>
      <c r="BF36" s="62">
        <v>4</v>
      </c>
      <c r="BG36" s="143">
        <f>1+8+4</f>
        <v>13</v>
      </c>
      <c r="BH36" s="13">
        <f t="shared" si="13"/>
        <v>19</v>
      </c>
      <c r="BI36" s="184"/>
      <c r="BJ36" s="143"/>
      <c r="BK36" s="13">
        <f t="shared" si="14"/>
        <v>19</v>
      </c>
      <c r="BL36" s="62">
        <v>2</v>
      </c>
      <c r="BM36" s="143">
        <v>5</v>
      </c>
      <c r="BN36" s="13">
        <f t="shared" si="15"/>
        <v>16</v>
      </c>
      <c r="BO36" s="62">
        <v>2</v>
      </c>
      <c r="BP36" s="143">
        <v>7</v>
      </c>
      <c r="BQ36" s="13">
        <f t="shared" si="16"/>
        <v>11</v>
      </c>
      <c r="BR36" s="62"/>
      <c r="BS36" s="143"/>
      <c r="BT36" s="13">
        <f t="shared" si="17"/>
        <v>11</v>
      </c>
      <c r="BU36" s="62">
        <v>4</v>
      </c>
      <c r="BV36" s="143">
        <f>4+1</f>
        <v>5</v>
      </c>
      <c r="BW36" s="13">
        <f t="shared" si="18"/>
        <v>10</v>
      </c>
      <c r="BX36" s="62">
        <v>4</v>
      </c>
      <c r="BY36" s="143">
        <v>7</v>
      </c>
      <c r="BZ36" s="13">
        <f t="shared" si="19"/>
        <v>7</v>
      </c>
      <c r="CA36" s="62">
        <v>4</v>
      </c>
      <c r="CB36" s="143">
        <v>7</v>
      </c>
      <c r="CC36" s="13">
        <f t="shared" si="20"/>
        <v>4</v>
      </c>
      <c r="CD36" s="62"/>
      <c r="CE36" s="143"/>
      <c r="CF36" s="13">
        <f t="shared" si="21"/>
        <v>4</v>
      </c>
      <c r="CG36" s="62">
        <f>4+3</f>
        <v>7</v>
      </c>
      <c r="CH36" s="143">
        <v>4</v>
      </c>
      <c r="CI36" s="13">
        <f t="shared" si="31"/>
        <v>7</v>
      </c>
      <c r="CJ36" s="62">
        <f>4+1</f>
        <v>5</v>
      </c>
      <c r="CK36" s="143">
        <v>6</v>
      </c>
      <c r="CL36" s="13">
        <f t="shared" si="32"/>
        <v>6</v>
      </c>
      <c r="CM36" s="62"/>
      <c r="CN36" s="143"/>
      <c r="CO36" s="13">
        <f t="shared" si="22"/>
        <v>6</v>
      </c>
      <c r="CP36" s="62">
        <v>4</v>
      </c>
      <c r="CQ36" s="143">
        <v>6</v>
      </c>
      <c r="CR36" s="13">
        <f t="shared" si="33"/>
        <v>4</v>
      </c>
      <c r="CS36" s="61">
        <v>4</v>
      </c>
      <c r="CT36" s="143">
        <v>4</v>
      </c>
      <c r="CU36" s="14">
        <f t="shared" si="23"/>
        <v>4</v>
      </c>
      <c r="CV36" s="5">
        <f t="shared" si="24"/>
        <v>107</v>
      </c>
      <c r="CW36" s="4">
        <f t="shared" si="24"/>
        <v>132</v>
      </c>
      <c r="CX36" s="6">
        <f t="shared" si="25"/>
        <v>4</v>
      </c>
      <c r="CY36" s="162">
        <v>1700</v>
      </c>
      <c r="CZ36" s="171">
        <f t="shared" si="26"/>
        <v>6800</v>
      </c>
      <c r="DB36" s="2">
        <f t="shared" si="34"/>
        <v>4</v>
      </c>
      <c r="DC36" s="61"/>
      <c r="DD36" s="143"/>
      <c r="DE36" s="149">
        <f t="shared" si="35"/>
        <v>4</v>
      </c>
    </row>
    <row r="37" spans="1:109" ht="15.75" customHeight="1">
      <c r="A37" s="33"/>
      <c r="B37" s="3" t="s">
        <v>183</v>
      </c>
      <c r="C37" s="109" t="s">
        <v>51</v>
      </c>
      <c r="D37" s="34"/>
      <c r="E37" s="9" t="s">
        <v>51</v>
      </c>
      <c r="F37" s="14">
        <v>0</v>
      </c>
      <c r="G37" s="62"/>
      <c r="H37" s="143"/>
      <c r="I37" s="13">
        <f t="shared" si="0"/>
        <v>0</v>
      </c>
      <c r="J37" s="62"/>
      <c r="K37" s="143"/>
      <c r="L37" s="13">
        <f t="shared" si="1"/>
        <v>0</v>
      </c>
      <c r="M37" s="61"/>
      <c r="N37" s="143"/>
      <c r="O37" s="13">
        <f t="shared" si="2"/>
        <v>0</v>
      </c>
      <c r="P37" s="62"/>
      <c r="Q37" s="143"/>
      <c r="R37" s="30">
        <f t="shared" si="3"/>
        <v>0</v>
      </c>
      <c r="S37" s="61"/>
      <c r="T37" s="143"/>
      <c r="U37" s="13">
        <f t="shared" si="4"/>
        <v>0</v>
      </c>
      <c r="V37" s="62"/>
      <c r="W37" s="143"/>
      <c r="X37" s="13">
        <f t="shared" si="5"/>
        <v>0</v>
      </c>
      <c r="Y37" s="62"/>
      <c r="Z37" s="143"/>
      <c r="AA37" s="13">
        <f t="shared" si="27"/>
        <v>0</v>
      </c>
      <c r="AB37" s="62"/>
      <c r="AC37" s="143"/>
      <c r="AD37" s="13">
        <f>AA37+AB37-AC37</f>
        <v>0</v>
      </c>
      <c r="AE37" s="62"/>
      <c r="AF37" s="143"/>
      <c r="AG37" s="13">
        <f t="shared" si="29"/>
        <v>0</v>
      </c>
      <c r="AH37" s="62"/>
      <c r="AI37" s="143"/>
      <c r="AJ37" s="13">
        <f t="shared" si="30"/>
        <v>0</v>
      </c>
      <c r="AK37" s="62"/>
      <c r="AL37" s="143"/>
      <c r="AM37" s="13">
        <f t="shared" si="6"/>
        <v>0</v>
      </c>
      <c r="AN37" s="62"/>
      <c r="AO37" s="143"/>
      <c r="AP37" s="13">
        <f t="shared" si="7"/>
        <v>0</v>
      </c>
      <c r="AQ37" s="62"/>
      <c r="AR37" s="143"/>
      <c r="AS37" s="13">
        <f t="shared" si="8"/>
        <v>0</v>
      </c>
      <c r="AT37" s="62"/>
      <c r="AU37" s="143"/>
      <c r="AV37" s="13">
        <f t="shared" si="9"/>
        <v>0</v>
      </c>
      <c r="AW37" s="62"/>
      <c r="AX37" s="143"/>
      <c r="AY37" s="13">
        <f t="shared" si="10"/>
        <v>0</v>
      </c>
      <c r="AZ37" s="62"/>
      <c r="BA37" s="143"/>
      <c r="BB37" s="13">
        <f t="shared" si="11"/>
        <v>0</v>
      </c>
      <c r="BC37" s="62"/>
      <c r="BD37" s="143"/>
      <c r="BE37" s="13">
        <f t="shared" si="12"/>
        <v>0</v>
      </c>
      <c r="BF37" s="62"/>
      <c r="BG37" s="143"/>
      <c r="BH37" s="13">
        <f t="shared" si="13"/>
        <v>0</v>
      </c>
      <c r="BI37" s="184"/>
      <c r="BJ37" s="143"/>
      <c r="BK37" s="13">
        <f t="shared" si="14"/>
        <v>0</v>
      </c>
      <c r="BL37" s="62"/>
      <c r="BM37" s="143"/>
      <c r="BN37" s="13">
        <f t="shared" si="15"/>
        <v>0</v>
      </c>
      <c r="BO37" s="62"/>
      <c r="BP37" s="143"/>
      <c r="BQ37" s="13">
        <f t="shared" si="16"/>
        <v>0</v>
      </c>
      <c r="BR37" s="62"/>
      <c r="BS37" s="143"/>
      <c r="BT37" s="13">
        <f t="shared" si="17"/>
        <v>0</v>
      </c>
      <c r="BU37" s="62"/>
      <c r="BV37" s="143"/>
      <c r="BW37" s="13">
        <f t="shared" si="18"/>
        <v>0</v>
      </c>
      <c r="BX37" s="62"/>
      <c r="BY37" s="143"/>
      <c r="BZ37" s="13">
        <f t="shared" si="19"/>
        <v>0</v>
      </c>
      <c r="CA37" s="62"/>
      <c r="CB37" s="143"/>
      <c r="CC37" s="13">
        <f t="shared" si="20"/>
        <v>0</v>
      </c>
      <c r="CD37" s="62"/>
      <c r="CE37" s="143"/>
      <c r="CF37" s="13">
        <f t="shared" si="21"/>
        <v>0</v>
      </c>
      <c r="CG37" s="62"/>
      <c r="CH37" s="143"/>
      <c r="CI37" s="13">
        <f t="shared" si="31"/>
        <v>0</v>
      </c>
      <c r="CJ37" s="62"/>
      <c r="CK37" s="143"/>
      <c r="CL37" s="13">
        <f t="shared" si="32"/>
        <v>0</v>
      </c>
      <c r="CM37" s="62"/>
      <c r="CN37" s="143"/>
      <c r="CO37" s="13">
        <f t="shared" si="22"/>
        <v>0</v>
      </c>
      <c r="CP37" s="62"/>
      <c r="CQ37" s="143"/>
      <c r="CR37" s="13">
        <f t="shared" si="33"/>
        <v>0</v>
      </c>
      <c r="CS37" s="61"/>
      <c r="CT37" s="143"/>
      <c r="CU37" s="14">
        <f t="shared" si="23"/>
        <v>0</v>
      </c>
      <c r="CV37" s="5">
        <f t="shared" ref="CV37:CW68" si="36">G37+J37+M37+P37+S37+V37+Y37+AB37+AE37+AH37+AK37+AN37+AQ37+AT37+AW37+AZ37+BC37+BF37+BI37+BL37+BO37+BR37+BU37+BX37+CA37+CD37+CG37+CJ37+CM37+CP37+CS37</f>
        <v>0</v>
      </c>
      <c r="CW37" s="4">
        <f t="shared" si="36"/>
        <v>0</v>
      </c>
      <c r="CX37" s="6">
        <f t="shared" si="25"/>
        <v>0</v>
      </c>
      <c r="CY37" s="162">
        <v>0</v>
      </c>
      <c r="CZ37" s="171">
        <f t="shared" si="26"/>
        <v>0</v>
      </c>
      <c r="DB37" s="2">
        <f t="shared" si="34"/>
        <v>0</v>
      </c>
      <c r="DC37" s="61"/>
      <c r="DD37" s="143"/>
      <c r="DE37" s="149">
        <f t="shared" si="35"/>
        <v>0</v>
      </c>
    </row>
    <row r="38" spans="1:109" ht="15.75" customHeight="1">
      <c r="A38" s="102" t="s">
        <v>79</v>
      </c>
      <c r="B38" s="157" t="s">
        <v>80</v>
      </c>
      <c r="C38" s="158" t="s">
        <v>25</v>
      </c>
      <c r="D38" s="159">
        <v>20</v>
      </c>
      <c r="E38" s="159" t="s">
        <v>27</v>
      </c>
      <c r="F38" s="14">
        <v>0</v>
      </c>
      <c r="G38" s="62"/>
      <c r="H38" s="143"/>
      <c r="I38" s="13">
        <f t="shared" si="0"/>
        <v>0</v>
      </c>
      <c r="J38" s="62"/>
      <c r="K38" s="143"/>
      <c r="L38" s="13">
        <f t="shared" si="1"/>
        <v>0</v>
      </c>
      <c r="M38" s="61"/>
      <c r="N38" s="143"/>
      <c r="O38" s="13">
        <f t="shared" si="2"/>
        <v>0</v>
      </c>
      <c r="P38" s="62"/>
      <c r="Q38" s="143"/>
      <c r="R38" s="30">
        <f t="shared" si="3"/>
        <v>0</v>
      </c>
      <c r="S38" s="61"/>
      <c r="T38" s="143"/>
      <c r="U38" s="13">
        <f t="shared" si="4"/>
        <v>0</v>
      </c>
      <c r="V38" s="62"/>
      <c r="W38" s="143"/>
      <c r="X38" s="13">
        <f t="shared" si="5"/>
        <v>0</v>
      </c>
      <c r="Y38" s="62"/>
      <c r="Z38" s="143"/>
      <c r="AA38" s="13">
        <f t="shared" si="27"/>
        <v>0</v>
      </c>
      <c r="AB38" s="62"/>
      <c r="AC38" s="143"/>
      <c r="AD38" s="13">
        <f t="shared" si="28"/>
        <v>0</v>
      </c>
      <c r="AE38" s="62"/>
      <c r="AF38" s="143"/>
      <c r="AG38" s="13">
        <f t="shared" si="29"/>
        <v>0</v>
      </c>
      <c r="AH38" s="62"/>
      <c r="AI38" s="143"/>
      <c r="AJ38" s="13">
        <f t="shared" si="30"/>
        <v>0</v>
      </c>
      <c r="AK38" s="62"/>
      <c r="AL38" s="143"/>
      <c r="AM38" s="13">
        <f t="shared" si="6"/>
        <v>0</v>
      </c>
      <c r="AN38" s="62"/>
      <c r="AO38" s="143"/>
      <c r="AP38" s="13">
        <f t="shared" si="7"/>
        <v>0</v>
      </c>
      <c r="AQ38" s="62"/>
      <c r="AR38" s="143"/>
      <c r="AS38" s="13">
        <f t="shared" si="8"/>
        <v>0</v>
      </c>
      <c r="AT38" s="62"/>
      <c r="AU38" s="143"/>
      <c r="AV38" s="13">
        <f t="shared" si="9"/>
        <v>0</v>
      </c>
      <c r="AW38" s="62"/>
      <c r="AX38" s="143"/>
      <c r="AY38" s="13">
        <f t="shared" si="10"/>
        <v>0</v>
      </c>
      <c r="AZ38" s="62"/>
      <c r="BA38" s="143"/>
      <c r="BB38" s="13">
        <f t="shared" si="11"/>
        <v>0</v>
      </c>
      <c r="BC38" s="62"/>
      <c r="BD38" s="143"/>
      <c r="BE38" s="13">
        <f t="shared" si="12"/>
        <v>0</v>
      </c>
      <c r="BF38" s="62"/>
      <c r="BG38" s="143"/>
      <c r="BH38" s="13">
        <f t="shared" si="13"/>
        <v>0</v>
      </c>
      <c r="BI38" s="184"/>
      <c r="BJ38" s="143"/>
      <c r="BK38" s="13">
        <f t="shared" si="14"/>
        <v>0</v>
      </c>
      <c r="BL38" s="62"/>
      <c r="BM38" s="143"/>
      <c r="BN38" s="13">
        <f t="shared" si="15"/>
        <v>0</v>
      </c>
      <c r="BO38" s="62"/>
      <c r="BP38" s="143"/>
      <c r="BQ38" s="13">
        <f t="shared" si="16"/>
        <v>0</v>
      </c>
      <c r="BR38" s="62"/>
      <c r="BS38" s="143"/>
      <c r="BT38" s="13">
        <f t="shared" si="17"/>
        <v>0</v>
      </c>
      <c r="BU38" s="62"/>
      <c r="BV38" s="143"/>
      <c r="BW38" s="13">
        <f t="shared" si="18"/>
        <v>0</v>
      </c>
      <c r="BX38" s="62"/>
      <c r="BY38" s="143"/>
      <c r="BZ38" s="13">
        <f t="shared" si="19"/>
        <v>0</v>
      </c>
      <c r="CA38" s="62"/>
      <c r="CB38" s="143"/>
      <c r="CC38" s="13">
        <f t="shared" si="20"/>
        <v>0</v>
      </c>
      <c r="CD38" s="62"/>
      <c r="CE38" s="143"/>
      <c r="CF38" s="13">
        <f t="shared" si="21"/>
        <v>0</v>
      </c>
      <c r="CG38" s="62"/>
      <c r="CH38" s="143"/>
      <c r="CI38" s="13">
        <f t="shared" si="31"/>
        <v>0</v>
      </c>
      <c r="CJ38" s="62"/>
      <c r="CK38" s="143"/>
      <c r="CL38" s="13">
        <f t="shared" si="32"/>
        <v>0</v>
      </c>
      <c r="CM38" s="62"/>
      <c r="CN38" s="143"/>
      <c r="CO38" s="13">
        <f t="shared" si="22"/>
        <v>0</v>
      </c>
      <c r="CP38" s="62"/>
      <c r="CQ38" s="143"/>
      <c r="CR38" s="13">
        <f t="shared" si="33"/>
        <v>0</v>
      </c>
      <c r="CS38" s="62"/>
      <c r="CT38" s="143"/>
      <c r="CU38" s="14">
        <f t="shared" si="23"/>
        <v>0</v>
      </c>
      <c r="CV38" s="5">
        <f t="shared" si="36"/>
        <v>0</v>
      </c>
      <c r="CW38" s="4">
        <f t="shared" si="36"/>
        <v>0</v>
      </c>
      <c r="CX38" s="6">
        <f t="shared" si="25"/>
        <v>0</v>
      </c>
      <c r="CY38" s="162">
        <v>0</v>
      </c>
      <c r="CZ38" s="171">
        <f t="shared" si="26"/>
        <v>0</v>
      </c>
      <c r="DB38" s="2">
        <f t="shared" si="34"/>
        <v>0</v>
      </c>
      <c r="DC38" s="62"/>
      <c r="DD38" s="143"/>
      <c r="DE38" s="149">
        <f t="shared" si="35"/>
        <v>0</v>
      </c>
    </row>
    <row r="39" spans="1:109" ht="15.75" customHeight="1">
      <c r="A39" s="33" t="s">
        <v>81</v>
      </c>
      <c r="B39" s="3" t="s">
        <v>82</v>
      </c>
      <c r="C39" s="104" t="s">
        <v>47</v>
      </c>
      <c r="D39" s="34"/>
      <c r="E39" s="34" t="s">
        <v>83</v>
      </c>
      <c r="F39" s="14">
        <v>33</v>
      </c>
      <c r="G39" s="62"/>
      <c r="H39" s="143"/>
      <c r="I39" s="13">
        <f t="shared" si="0"/>
        <v>33</v>
      </c>
      <c r="J39" s="62"/>
      <c r="K39" s="143"/>
      <c r="L39" s="13">
        <f t="shared" si="1"/>
        <v>33</v>
      </c>
      <c r="M39" s="61">
        <f>10+20</f>
        <v>30</v>
      </c>
      <c r="N39" s="143">
        <f>19+9+3</f>
        <v>31</v>
      </c>
      <c r="O39" s="13">
        <f t="shared" si="2"/>
        <v>32</v>
      </c>
      <c r="P39" s="62"/>
      <c r="Q39" s="143">
        <f>2+5+19</f>
        <v>26</v>
      </c>
      <c r="R39" s="30">
        <f t="shared" si="3"/>
        <v>6</v>
      </c>
      <c r="S39" s="61">
        <v>10</v>
      </c>
      <c r="T39" s="143">
        <f>7</f>
        <v>7</v>
      </c>
      <c r="U39" s="13">
        <f t="shared" si="4"/>
        <v>9</v>
      </c>
      <c r="V39" s="62">
        <v>10</v>
      </c>
      <c r="W39" s="143">
        <f>3+1+1+1</f>
        <v>6</v>
      </c>
      <c r="X39" s="13">
        <f t="shared" si="5"/>
        <v>13</v>
      </c>
      <c r="Y39" s="62">
        <v>10</v>
      </c>
      <c r="Z39" s="143">
        <f>2+7+2</f>
        <v>11</v>
      </c>
      <c r="AA39" s="13">
        <f t="shared" si="27"/>
        <v>12</v>
      </c>
      <c r="AB39" s="62"/>
      <c r="AC39" s="143"/>
      <c r="AD39" s="13">
        <f t="shared" si="28"/>
        <v>12</v>
      </c>
      <c r="AE39" s="62">
        <v>10</v>
      </c>
      <c r="AF39" s="143">
        <f>3+2+4</f>
        <v>9</v>
      </c>
      <c r="AG39" s="13">
        <f t="shared" si="29"/>
        <v>13</v>
      </c>
      <c r="AH39" s="62">
        <v>10</v>
      </c>
      <c r="AI39" s="143">
        <f>1+5</f>
        <v>6</v>
      </c>
      <c r="AJ39" s="13">
        <f t="shared" si="30"/>
        <v>17</v>
      </c>
      <c r="AK39" s="62">
        <f>10+10</f>
        <v>20</v>
      </c>
      <c r="AL39" s="143">
        <f>1+3+5</f>
        <v>9</v>
      </c>
      <c r="AM39" s="13">
        <f t="shared" si="6"/>
        <v>28</v>
      </c>
      <c r="AN39" s="62"/>
      <c r="AO39" s="143"/>
      <c r="AP39" s="13">
        <f t="shared" si="7"/>
        <v>28</v>
      </c>
      <c r="AQ39" s="62"/>
      <c r="AR39" s="143">
        <f>1+7+3+3+2</f>
        <v>16</v>
      </c>
      <c r="AS39" s="13">
        <f t="shared" si="8"/>
        <v>12</v>
      </c>
      <c r="AT39" s="62">
        <f>-1+20</f>
        <v>19</v>
      </c>
      <c r="AU39" s="143">
        <f>1+2+9+3</f>
        <v>15</v>
      </c>
      <c r="AV39" s="13">
        <f t="shared" si="9"/>
        <v>16</v>
      </c>
      <c r="AW39" s="62"/>
      <c r="AX39" s="143"/>
      <c r="AY39" s="13">
        <f t="shared" si="10"/>
        <v>16</v>
      </c>
      <c r="AZ39" s="62">
        <v>10</v>
      </c>
      <c r="BA39" s="143">
        <f>2+4</f>
        <v>6</v>
      </c>
      <c r="BB39" s="13">
        <f t="shared" si="11"/>
        <v>20</v>
      </c>
      <c r="BC39" s="62">
        <v>10</v>
      </c>
      <c r="BD39" s="143">
        <f>2+2+8</f>
        <v>12</v>
      </c>
      <c r="BE39" s="13">
        <f t="shared" si="12"/>
        <v>18</v>
      </c>
      <c r="BF39" s="62">
        <f>10-4+10</f>
        <v>16</v>
      </c>
      <c r="BG39" s="143">
        <f>2+1+15+8</f>
        <v>26</v>
      </c>
      <c r="BH39" s="13">
        <f t="shared" si="13"/>
        <v>8</v>
      </c>
      <c r="BI39" s="184"/>
      <c r="BJ39" s="143"/>
      <c r="BK39" s="13">
        <f t="shared" si="14"/>
        <v>8</v>
      </c>
      <c r="BL39" s="62">
        <f>10+10</f>
        <v>20</v>
      </c>
      <c r="BM39" s="143">
        <f>2+3</f>
        <v>5</v>
      </c>
      <c r="BN39" s="13">
        <f t="shared" si="15"/>
        <v>23</v>
      </c>
      <c r="BO39" s="62"/>
      <c r="BP39" s="143">
        <f>6+5</f>
        <v>11</v>
      </c>
      <c r="BQ39" s="13">
        <f t="shared" si="16"/>
        <v>12</v>
      </c>
      <c r="BR39" s="62"/>
      <c r="BS39" s="143"/>
      <c r="BT39" s="13">
        <f t="shared" si="17"/>
        <v>12</v>
      </c>
      <c r="BU39" s="62">
        <v>10</v>
      </c>
      <c r="BV39" s="143">
        <f>1+5</f>
        <v>6</v>
      </c>
      <c r="BW39" s="13">
        <f t="shared" si="18"/>
        <v>16</v>
      </c>
      <c r="BX39" s="62">
        <v>10</v>
      </c>
      <c r="BY39" s="143">
        <f>5</f>
        <v>5</v>
      </c>
      <c r="BZ39" s="13">
        <f t="shared" si="19"/>
        <v>21</v>
      </c>
      <c r="CA39" s="62">
        <f>10+20</f>
        <v>30</v>
      </c>
      <c r="CB39" s="143">
        <f>2+16+3+11+1+5</f>
        <v>38</v>
      </c>
      <c r="CC39" s="13">
        <f t="shared" si="20"/>
        <v>13</v>
      </c>
      <c r="CD39" s="62"/>
      <c r="CE39" s="143"/>
      <c r="CF39" s="13">
        <f t="shared" si="21"/>
        <v>13</v>
      </c>
      <c r="CG39" s="62">
        <v>10</v>
      </c>
      <c r="CH39" s="143">
        <v>9</v>
      </c>
      <c r="CI39" s="13">
        <f t="shared" si="31"/>
        <v>14</v>
      </c>
      <c r="CJ39" s="62">
        <v>10</v>
      </c>
      <c r="CK39" s="143">
        <v>16</v>
      </c>
      <c r="CL39" s="13">
        <f t="shared" si="32"/>
        <v>8</v>
      </c>
      <c r="CM39" s="62"/>
      <c r="CN39" s="143"/>
      <c r="CO39" s="13">
        <f t="shared" si="22"/>
        <v>8</v>
      </c>
      <c r="CP39" s="62">
        <v>10</v>
      </c>
      <c r="CQ39" s="143">
        <f>4+2</f>
        <v>6</v>
      </c>
      <c r="CR39" s="13">
        <f t="shared" si="33"/>
        <v>12</v>
      </c>
      <c r="CS39" s="61"/>
      <c r="CT39" s="143">
        <f>1+2</f>
        <v>3</v>
      </c>
      <c r="CU39" s="14">
        <f t="shared" si="23"/>
        <v>9</v>
      </c>
      <c r="CV39" s="5">
        <f t="shared" si="36"/>
        <v>255</v>
      </c>
      <c r="CW39" s="4">
        <f t="shared" si="36"/>
        <v>279</v>
      </c>
      <c r="CX39" s="6">
        <f t="shared" si="25"/>
        <v>9</v>
      </c>
      <c r="CY39" s="162">
        <v>140</v>
      </c>
      <c r="CZ39" s="171">
        <f t="shared" si="26"/>
        <v>1260</v>
      </c>
      <c r="DB39" s="2">
        <f t="shared" si="34"/>
        <v>9</v>
      </c>
      <c r="DC39" s="61"/>
      <c r="DD39" s="143"/>
      <c r="DE39" s="149">
        <f t="shared" si="35"/>
        <v>9</v>
      </c>
    </row>
    <row r="40" spans="1:109" ht="15.75" customHeight="1">
      <c r="A40" s="33" t="s">
        <v>54</v>
      </c>
      <c r="B40" s="157" t="s">
        <v>84</v>
      </c>
      <c r="C40" s="158" t="s">
        <v>50</v>
      </c>
      <c r="D40" s="159">
        <v>10</v>
      </c>
      <c r="E40" s="159" t="s">
        <v>85</v>
      </c>
      <c r="F40" s="14">
        <v>19.299999999999972</v>
      </c>
      <c r="G40" s="62"/>
      <c r="H40" s="143"/>
      <c r="I40" s="13">
        <f t="shared" si="0"/>
        <v>19.299999999999972</v>
      </c>
      <c r="J40" s="62"/>
      <c r="K40" s="143"/>
      <c r="L40" s="13">
        <f t="shared" si="1"/>
        <v>19.299999999999972</v>
      </c>
      <c r="M40" s="61">
        <v>10</v>
      </c>
      <c r="N40" s="143">
        <f>0.4+3.6+0.3+0.3+0.5</f>
        <v>5.0999999999999996</v>
      </c>
      <c r="O40" s="13">
        <f t="shared" si="2"/>
        <v>24.199999999999974</v>
      </c>
      <c r="P40" s="62"/>
      <c r="Q40" s="143">
        <f>1.7</f>
        <v>1.7</v>
      </c>
      <c r="R40" s="30">
        <f t="shared" si="3"/>
        <v>22.499999999999975</v>
      </c>
      <c r="S40" s="61">
        <v>10</v>
      </c>
      <c r="T40" s="143">
        <f>2.3+2.3+1.6+1.2+1.7+0.5+1.8+0.7+0.8+2+0.7</f>
        <v>15.6</v>
      </c>
      <c r="U40" s="13">
        <f t="shared" si="4"/>
        <v>16.89999999999997</v>
      </c>
      <c r="V40" s="62">
        <v>20</v>
      </c>
      <c r="W40" s="143">
        <f>3.2+0.7+1.7+1.8+1+0.9+0.8+2.1</f>
        <v>12.200000000000001</v>
      </c>
      <c r="X40" s="13">
        <f t="shared" si="5"/>
        <v>24.699999999999967</v>
      </c>
      <c r="Y40" s="62">
        <v>20</v>
      </c>
      <c r="Z40" s="143">
        <f>1+1.9+1.8+0.9+2.4+1.1+1.3+2.1+1.7+1+1.7+2+1.8+0.7+0.7+2.3</f>
        <v>24.4</v>
      </c>
      <c r="AA40" s="13">
        <f t="shared" si="27"/>
        <v>20.299999999999969</v>
      </c>
      <c r="AB40" s="62"/>
      <c r="AC40" s="143"/>
      <c r="AD40" s="13">
        <f t="shared" si="28"/>
        <v>20.299999999999969</v>
      </c>
      <c r="AE40" s="62"/>
      <c r="AF40" s="143">
        <f>2.8+0.3+0.3+0.3+0.3+0.3+0.3+0.3</f>
        <v>4.8999999999999986</v>
      </c>
      <c r="AG40" s="13">
        <f t="shared" si="29"/>
        <v>15.39999999999997</v>
      </c>
      <c r="AH40" s="62"/>
      <c r="AI40" s="143">
        <f>1.2</f>
        <v>1.2</v>
      </c>
      <c r="AJ40" s="13">
        <f t="shared" si="30"/>
        <v>14.199999999999971</v>
      </c>
      <c r="AK40" s="62">
        <v>30</v>
      </c>
      <c r="AL40" s="143">
        <f>2.4+1.8+1.3+0.7+0.7+1.7+1.4</f>
        <v>10</v>
      </c>
      <c r="AM40" s="13">
        <f t="shared" si="6"/>
        <v>34.199999999999974</v>
      </c>
      <c r="AN40" s="62"/>
      <c r="AO40" s="143"/>
      <c r="AP40" s="13">
        <f t="shared" si="7"/>
        <v>34.199999999999974</v>
      </c>
      <c r="AQ40" s="62"/>
      <c r="AR40" s="143">
        <f>2.2+1.3+2.1+1.6+0.6+2.5</f>
        <v>10.299999999999999</v>
      </c>
      <c r="AS40" s="13">
        <f t="shared" si="8"/>
        <v>23.899999999999977</v>
      </c>
      <c r="AT40" s="62">
        <v>10</v>
      </c>
      <c r="AU40" s="143">
        <f>0.6+1+0.8+0.9+0.8+0.8+1.4+1.7+1+0.9+1.8+0.8+0.7+1.4</f>
        <v>14.600000000000001</v>
      </c>
      <c r="AV40" s="13">
        <f t="shared" si="9"/>
        <v>19.299999999999976</v>
      </c>
      <c r="AW40" s="62"/>
      <c r="AX40" s="143"/>
      <c r="AY40" s="13">
        <f t="shared" si="10"/>
        <v>19.299999999999976</v>
      </c>
      <c r="AZ40" s="62">
        <v>10</v>
      </c>
      <c r="BA40" s="143">
        <f>1+3+0.5+0.3+0.3+0.2+0.3+0.2+0.3+3.3</f>
        <v>9.3999999999999986</v>
      </c>
      <c r="BB40" s="13">
        <f t="shared" si="11"/>
        <v>19.899999999999977</v>
      </c>
      <c r="BC40" s="62">
        <v>-0.5</v>
      </c>
      <c r="BD40" s="143">
        <f>0.5+1.6+2</f>
        <v>4.0999999999999996</v>
      </c>
      <c r="BE40" s="13">
        <f t="shared" si="12"/>
        <v>15.299999999999978</v>
      </c>
      <c r="BF40" s="62">
        <v>20</v>
      </c>
      <c r="BG40" s="143">
        <f>2.3+0.9+0.7+2+1.3+0.8+2.3+0.8+0.8+0.9</f>
        <v>12.8</v>
      </c>
      <c r="BH40" s="13">
        <f t="shared" si="13"/>
        <v>22.499999999999975</v>
      </c>
      <c r="BI40" s="184"/>
      <c r="BJ40" s="143"/>
      <c r="BK40" s="13">
        <f t="shared" si="14"/>
        <v>22.499999999999975</v>
      </c>
      <c r="BL40" s="62">
        <v>20</v>
      </c>
      <c r="BM40" s="143">
        <f>3.2+0.7+1.4+2+1.7+0.8+2</f>
        <v>11.8</v>
      </c>
      <c r="BN40" s="13">
        <f t="shared" si="15"/>
        <v>30.699999999999971</v>
      </c>
      <c r="BO40" s="62"/>
      <c r="BP40" s="143">
        <f>1+1.9+1.3+2.5+0.8+1.7+2+1.6+0.6+1.7+1.6+2.4+0.9+1.3</f>
        <v>21.299999999999997</v>
      </c>
      <c r="BQ40" s="13">
        <f t="shared" si="16"/>
        <v>9.3999999999999737</v>
      </c>
      <c r="BR40" s="62"/>
      <c r="BS40" s="143"/>
      <c r="BT40" s="13">
        <f t="shared" si="17"/>
        <v>9.3999999999999737</v>
      </c>
      <c r="BU40" s="62">
        <v>20</v>
      </c>
      <c r="BV40" s="143">
        <f>1.3+0.5+2.8+0.2+0.3+0.4+0.3+0.3+0.3</f>
        <v>6.3999999999999995</v>
      </c>
      <c r="BW40" s="13">
        <f t="shared" si="18"/>
        <v>22.999999999999975</v>
      </c>
      <c r="BX40" s="62"/>
      <c r="BY40" s="143">
        <f>0.8+0.6</f>
        <v>1.4</v>
      </c>
      <c r="BZ40" s="13">
        <f t="shared" si="19"/>
        <v>21.599999999999977</v>
      </c>
      <c r="CA40" s="62">
        <v>20</v>
      </c>
      <c r="CB40" s="143">
        <f>2.5+0.9+0.9+1.4+0.8+0.8+4+1.8+1.5+0.7+1</f>
        <v>16.299999999999997</v>
      </c>
      <c r="CC40" s="13">
        <f t="shared" si="20"/>
        <v>25.299999999999983</v>
      </c>
      <c r="CD40" s="62"/>
      <c r="CE40" s="143"/>
      <c r="CF40" s="13">
        <f t="shared" si="21"/>
        <v>25.299999999999983</v>
      </c>
      <c r="CG40" s="62">
        <v>20</v>
      </c>
      <c r="CH40" s="143">
        <f>2.4+1.1+2+2.2+2.4+1.3+1.8+5</f>
        <v>18.200000000000003</v>
      </c>
      <c r="CI40" s="13">
        <f t="shared" si="31"/>
        <v>27.09999999999998</v>
      </c>
      <c r="CJ40" s="62">
        <v>10</v>
      </c>
      <c r="CK40" s="143">
        <f>0.5+0.9+1.1+0.8+0.8+0.3+1.2+1.5+1.6+1.5+1.7+1.7+1.6+1+0.6</f>
        <v>16.799999999999997</v>
      </c>
      <c r="CL40" s="13">
        <f t="shared" si="32"/>
        <v>20.299999999999983</v>
      </c>
      <c r="CM40" s="62"/>
      <c r="CN40" s="143"/>
      <c r="CO40" s="13">
        <f t="shared" si="22"/>
        <v>20.299999999999983</v>
      </c>
      <c r="CP40" s="62"/>
      <c r="CQ40" s="143">
        <f>3.2+0.2+0.3+0.3+0.2+3</f>
        <v>7.2</v>
      </c>
      <c r="CR40" s="13">
        <f t="shared" si="33"/>
        <v>13.099999999999984</v>
      </c>
      <c r="CS40" s="62"/>
      <c r="CT40" s="143"/>
      <c r="CU40" s="14">
        <f t="shared" si="23"/>
        <v>13.099999999999984</v>
      </c>
      <c r="CV40" s="5">
        <f t="shared" si="36"/>
        <v>219.5</v>
      </c>
      <c r="CW40" s="4">
        <f t="shared" si="36"/>
        <v>225.7</v>
      </c>
      <c r="CX40" s="6">
        <f t="shared" si="25"/>
        <v>13.099999999999984</v>
      </c>
      <c r="CY40" s="162">
        <v>240</v>
      </c>
      <c r="CZ40" s="171">
        <f t="shared" si="26"/>
        <v>3143.9999999999959</v>
      </c>
      <c r="DB40" s="2">
        <f t="shared" si="34"/>
        <v>13.099999999999984</v>
      </c>
      <c r="DC40" s="62"/>
      <c r="DD40" s="143">
        <f>0.5+2.5+3.1+0.8</f>
        <v>6.8999999999999995</v>
      </c>
      <c r="DE40" s="149">
        <f t="shared" si="35"/>
        <v>6.1999999999999842</v>
      </c>
    </row>
    <row r="41" spans="1:109" ht="15.75" customHeight="1">
      <c r="A41" s="33"/>
      <c r="B41" s="3" t="s">
        <v>86</v>
      </c>
      <c r="C41" s="104" t="s">
        <v>21</v>
      </c>
      <c r="D41" s="34"/>
      <c r="E41" s="34" t="s">
        <v>87</v>
      </c>
      <c r="F41" s="14">
        <v>0</v>
      </c>
      <c r="G41" s="62"/>
      <c r="H41" s="143"/>
      <c r="I41" s="13">
        <f t="shared" si="0"/>
        <v>0</v>
      </c>
      <c r="J41" s="62"/>
      <c r="K41" s="143"/>
      <c r="L41" s="13">
        <f t="shared" si="1"/>
        <v>0</v>
      </c>
      <c r="M41" s="61"/>
      <c r="N41" s="143"/>
      <c r="O41" s="13">
        <f t="shared" si="2"/>
        <v>0</v>
      </c>
      <c r="P41" s="62"/>
      <c r="Q41" s="143"/>
      <c r="R41" s="30">
        <f t="shared" si="3"/>
        <v>0</v>
      </c>
      <c r="S41" s="61"/>
      <c r="T41" s="143"/>
      <c r="U41" s="13">
        <f t="shared" si="4"/>
        <v>0</v>
      </c>
      <c r="V41" s="62"/>
      <c r="W41" s="143"/>
      <c r="X41" s="13">
        <f t="shared" si="5"/>
        <v>0</v>
      </c>
      <c r="Y41" s="62"/>
      <c r="Z41" s="143"/>
      <c r="AA41" s="13">
        <f t="shared" si="27"/>
        <v>0</v>
      </c>
      <c r="AB41" s="62"/>
      <c r="AC41" s="143"/>
      <c r="AD41" s="13">
        <f t="shared" si="28"/>
        <v>0</v>
      </c>
      <c r="AE41" s="62"/>
      <c r="AF41" s="143"/>
      <c r="AG41" s="13">
        <f t="shared" si="29"/>
        <v>0</v>
      </c>
      <c r="AH41" s="62"/>
      <c r="AI41" s="143"/>
      <c r="AJ41" s="13">
        <f t="shared" si="30"/>
        <v>0</v>
      </c>
      <c r="AK41" s="62"/>
      <c r="AL41" s="143"/>
      <c r="AM41" s="13">
        <f t="shared" si="6"/>
        <v>0</v>
      </c>
      <c r="AN41" s="62"/>
      <c r="AO41" s="143"/>
      <c r="AP41" s="13">
        <f t="shared" si="7"/>
        <v>0</v>
      </c>
      <c r="AQ41" s="62"/>
      <c r="AR41" s="143"/>
      <c r="AS41" s="13">
        <f t="shared" si="8"/>
        <v>0</v>
      </c>
      <c r="AT41" s="62"/>
      <c r="AU41" s="143"/>
      <c r="AV41" s="13">
        <f t="shared" si="9"/>
        <v>0</v>
      </c>
      <c r="AW41" s="62"/>
      <c r="AX41" s="143"/>
      <c r="AY41" s="13">
        <f t="shared" si="10"/>
        <v>0</v>
      </c>
      <c r="AZ41" s="62"/>
      <c r="BA41" s="143"/>
      <c r="BB41" s="13">
        <f t="shared" si="11"/>
        <v>0</v>
      </c>
      <c r="BC41" s="62"/>
      <c r="BD41" s="143"/>
      <c r="BE41" s="13">
        <f t="shared" si="12"/>
        <v>0</v>
      </c>
      <c r="BF41" s="62"/>
      <c r="BG41" s="143"/>
      <c r="BH41" s="13">
        <f t="shared" si="13"/>
        <v>0</v>
      </c>
      <c r="BI41" s="184"/>
      <c r="BJ41" s="143"/>
      <c r="BK41" s="13">
        <f t="shared" si="14"/>
        <v>0</v>
      </c>
      <c r="BL41" s="62"/>
      <c r="BM41" s="143"/>
      <c r="BN41" s="13">
        <f t="shared" si="15"/>
        <v>0</v>
      </c>
      <c r="BO41" s="62"/>
      <c r="BP41" s="143"/>
      <c r="BQ41" s="13">
        <f t="shared" si="16"/>
        <v>0</v>
      </c>
      <c r="BR41" s="62"/>
      <c r="BS41" s="143"/>
      <c r="BT41" s="13">
        <f t="shared" si="17"/>
        <v>0</v>
      </c>
      <c r="BU41" s="62"/>
      <c r="BV41" s="143"/>
      <c r="BW41" s="13">
        <f t="shared" si="18"/>
        <v>0</v>
      </c>
      <c r="BX41" s="62"/>
      <c r="BY41" s="143"/>
      <c r="BZ41" s="13">
        <f t="shared" si="19"/>
        <v>0</v>
      </c>
      <c r="CA41" s="62"/>
      <c r="CB41" s="143"/>
      <c r="CC41" s="13">
        <f t="shared" si="20"/>
        <v>0</v>
      </c>
      <c r="CD41" s="62"/>
      <c r="CE41" s="143"/>
      <c r="CF41" s="13">
        <f t="shared" si="21"/>
        <v>0</v>
      </c>
      <c r="CG41" s="62"/>
      <c r="CH41" s="143"/>
      <c r="CI41" s="13">
        <f t="shared" si="31"/>
        <v>0</v>
      </c>
      <c r="CJ41" s="62"/>
      <c r="CK41" s="143"/>
      <c r="CL41" s="13">
        <f t="shared" si="32"/>
        <v>0</v>
      </c>
      <c r="CM41" s="62"/>
      <c r="CN41" s="143"/>
      <c r="CO41" s="13">
        <f t="shared" si="22"/>
        <v>0</v>
      </c>
      <c r="CP41" s="62"/>
      <c r="CQ41" s="143"/>
      <c r="CR41" s="13">
        <f t="shared" si="33"/>
        <v>0</v>
      </c>
      <c r="CS41" s="61"/>
      <c r="CT41" s="143"/>
      <c r="CU41" s="14">
        <f t="shared" si="23"/>
        <v>0</v>
      </c>
      <c r="CV41" s="5">
        <f t="shared" si="36"/>
        <v>0</v>
      </c>
      <c r="CW41" s="4">
        <f t="shared" si="36"/>
        <v>0</v>
      </c>
      <c r="CX41" s="6">
        <f t="shared" si="25"/>
        <v>0</v>
      </c>
      <c r="CY41" s="162">
        <v>0</v>
      </c>
      <c r="CZ41" s="171">
        <f t="shared" si="26"/>
        <v>0</v>
      </c>
      <c r="DB41" s="2">
        <f t="shared" si="34"/>
        <v>0</v>
      </c>
      <c r="DC41" s="61"/>
      <c r="DD41" s="143"/>
      <c r="DE41" s="149">
        <f t="shared" si="35"/>
        <v>0</v>
      </c>
    </row>
    <row r="42" spans="1:109" ht="15.75" customHeight="1">
      <c r="A42" s="33"/>
      <c r="B42" s="7" t="s">
        <v>88</v>
      </c>
      <c r="C42" s="105" t="s">
        <v>89</v>
      </c>
      <c r="D42" s="35">
        <v>1</v>
      </c>
      <c r="E42" s="35" t="s">
        <v>90</v>
      </c>
      <c r="F42" s="14">
        <v>0</v>
      </c>
      <c r="G42" s="62"/>
      <c r="H42" s="143"/>
      <c r="I42" s="13">
        <f t="shared" si="0"/>
        <v>0</v>
      </c>
      <c r="J42" s="62"/>
      <c r="K42" s="143"/>
      <c r="L42" s="13">
        <f t="shared" si="1"/>
        <v>0</v>
      </c>
      <c r="M42" s="61"/>
      <c r="N42" s="143"/>
      <c r="O42" s="13">
        <f t="shared" si="2"/>
        <v>0</v>
      </c>
      <c r="P42" s="64">
        <v>1</v>
      </c>
      <c r="Q42" s="143">
        <v>1</v>
      </c>
      <c r="R42" s="30">
        <f t="shared" si="3"/>
        <v>0</v>
      </c>
      <c r="S42" s="61"/>
      <c r="T42" s="143"/>
      <c r="U42" s="13">
        <f t="shared" si="4"/>
        <v>0</v>
      </c>
      <c r="V42" s="62">
        <v>1</v>
      </c>
      <c r="W42" s="143"/>
      <c r="X42" s="13">
        <f t="shared" si="5"/>
        <v>1</v>
      </c>
      <c r="Y42" s="62"/>
      <c r="Z42" s="143"/>
      <c r="AA42" s="13">
        <f t="shared" si="27"/>
        <v>1</v>
      </c>
      <c r="AB42" s="62"/>
      <c r="AC42" s="143"/>
      <c r="AD42" s="13">
        <f t="shared" si="28"/>
        <v>1</v>
      </c>
      <c r="AE42" s="62"/>
      <c r="AF42" s="143"/>
      <c r="AG42" s="13">
        <f t="shared" si="29"/>
        <v>1</v>
      </c>
      <c r="AH42" s="62"/>
      <c r="AI42" s="143"/>
      <c r="AJ42" s="13">
        <f t="shared" si="30"/>
        <v>1</v>
      </c>
      <c r="AK42" s="62"/>
      <c r="AL42" s="143"/>
      <c r="AM42" s="13">
        <f t="shared" si="6"/>
        <v>1</v>
      </c>
      <c r="AN42" s="62"/>
      <c r="AO42" s="143"/>
      <c r="AP42" s="13">
        <f t="shared" si="7"/>
        <v>1</v>
      </c>
      <c r="AQ42" s="62"/>
      <c r="AR42" s="143"/>
      <c r="AS42" s="13">
        <f t="shared" si="8"/>
        <v>1</v>
      </c>
      <c r="AT42" s="62">
        <v>1</v>
      </c>
      <c r="AU42" s="143">
        <v>1</v>
      </c>
      <c r="AV42" s="13">
        <f t="shared" si="9"/>
        <v>1</v>
      </c>
      <c r="AW42" s="62"/>
      <c r="AX42" s="143"/>
      <c r="AY42" s="13">
        <f t="shared" si="10"/>
        <v>1</v>
      </c>
      <c r="AZ42" s="62"/>
      <c r="BA42" s="143"/>
      <c r="BB42" s="13">
        <f t="shared" si="11"/>
        <v>1</v>
      </c>
      <c r="BC42" s="62"/>
      <c r="BD42" s="143"/>
      <c r="BE42" s="13">
        <f t="shared" si="12"/>
        <v>1</v>
      </c>
      <c r="BF42" s="62"/>
      <c r="BG42" s="143"/>
      <c r="BH42" s="13">
        <f t="shared" si="13"/>
        <v>1</v>
      </c>
      <c r="BI42" s="184"/>
      <c r="BJ42" s="143"/>
      <c r="BK42" s="13">
        <f t="shared" si="14"/>
        <v>1</v>
      </c>
      <c r="BL42" s="62"/>
      <c r="BM42" s="143"/>
      <c r="BN42" s="13">
        <f t="shared" si="15"/>
        <v>1</v>
      </c>
      <c r="BO42" s="62">
        <v>1</v>
      </c>
      <c r="BP42" s="143">
        <v>1</v>
      </c>
      <c r="BQ42" s="13">
        <f t="shared" si="16"/>
        <v>1</v>
      </c>
      <c r="BR42" s="62"/>
      <c r="BS42" s="143"/>
      <c r="BT42" s="13">
        <f t="shared" si="17"/>
        <v>1</v>
      </c>
      <c r="BU42" s="62"/>
      <c r="BV42" s="143"/>
      <c r="BW42" s="13">
        <f t="shared" si="18"/>
        <v>1</v>
      </c>
      <c r="BX42" s="62"/>
      <c r="BY42" s="143"/>
      <c r="BZ42" s="13">
        <f t="shared" si="19"/>
        <v>1</v>
      </c>
      <c r="CA42" s="62"/>
      <c r="CB42" s="143"/>
      <c r="CC42" s="13">
        <f t="shared" si="20"/>
        <v>1</v>
      </c>
      <c r="CD42" s="62"/>
      <c r="CE42" s="143"/>
      <c r="CF42" s="13">
        <f t="shared" si="21"/>
        <v>1</v>
      </c>
      <c r="CG42" s="62"/>
      <c r="CH42" s="143"/>
      <c r="CI42" s="13">
        <f t="shared" si="31"/>
        <v>1</v>
      </c>
      <c r="CJ42" s="62"/>
      <c r="CK42" s="143">
        <v>1</v>
      </c>
      <c r="CL42" s="13">
        <f t="shared" si="32"/>
        <v>0</v>
      </c>
      <c r="CM42" s="62"/>
      <c r="CN42" s="143"/>
      <c r="CO42" s="13">
        <f t="shared" si="22"/>
        <v>0</v>
      </c>
      <c r="CP42" s="62"/>
      <c r="CQ42" s="143"/>
      <c r="CR42" s="13">
        <f t="shared" si="33"/>
        <v>0</v>
      </c>
      <c r="CS42" s="61"/>
      <c r="CT42" s="143"/>
      <c r="CU42" s="14">
        <f t="shared" si="23"/>
        <v>0</v>
      </c>
      <c r="CV42" s="5">
        <f t="shared" si="36"/>
        <v>4</v>
      </c>
      <c r="CW42" s="4">
        <f t="shared" si="36"/>
        <v>4</v>
      </c>
      <c r="CX42" s="6">
        <f t="shared" si="25"/>
        <v>0</v>
      </c>
      <c r="CY42" s="162">
        <v>0</v>
      </c>
      <c r="CZ42" s="171">
        <f t="shared" si="26"/>
        <v>0</v>
      </c>
      <c r="DB42" s="2">
        <f t="shared" si="34"/>
        <v>0</v>
      </c>
      <c r="DC42" s="61"/>
      <c r="DD42" s="143"/>
      <c r="DE42" s="149">
        <f t="shared" si="35"/>
        <v>0</v>
      </c>
    </row>
    <row r="43" spans="1:109" ht="15.75" customHeight="1">
      <c r="A43" s="33"/>
      <c r="B43" s="157" t="s">
        <v>91</v>
      </c>
      <c r="C43" s="158" t="s">
        <v>21</v>
      </c>
      <c r="D43" s="159"/>
      <c r="E43" s="159" t="s">
        <v>21</v>
      </c>
      <c r="F43" s="14">
        <v>0</v>
      </c>
      <c r="G43" s="62"/>
      <c r="H43" s="143"/>
      <c r="I43" s="13">
        <f t="shared" si="0"/>
        <v>0</v>
      </c>
      <c r="J43" s="62"/>
      <c r="K43" s="143"/>
      <c r="L43" s="13">
        <f t="shared" si="1"/>
        <v>0</v>
      </c>
      <c r="M43" s="61"/>
      <c r="N43" s="143"/>
      <c r="O43" s="13">
        <f t="shared" si="2"/>
        <v>0</v>
      </c>
      <c r="P43" s="62"/>
      <c r="Q43" s="143"/>
      <c r="R43" s="30">
        <f t="shared" si="3"/>
        <v>0</v>
      </c>
      <c r="S43" s="61"/>
      <c r="T43" s="143"/>
      <c r="U43" s="13">
        <f t="shared" si="4"/>
        <v>0</v>
      </c>
      <c r="V43" s="62">
        <v>3</v>
      </c>
      <c r="W43" s="143">
        <f>1+0.5+1</f>
        <v>2.5</v>
      </c>
      <c r="X43" s="13">
        <f t="shared" si="5"/>
        <v>0.5</v>
      </c>
      <c r="Y43" s="62">
        <v>2</v>
      </c>
      <c r="Z43" s="143">
        <f>0.5+1+0.5+0.5</f>
        <v>2.5</v>
      </c>
      <c r="AA43" s="13">
        <f t="shared" si="27"/>
        <v>0</v>
      </c>
      <c r="AB43" s="62"/>
      <c r="AC43" s="143"/>
      <c r="AD43" s="13">
        <f t="shared" si="28"/>
        <v>0</v>
      </c>
      <c r="AE43" s="62">
        <v>1</v>
      </c>
      <c r="AF43" s="143">
        <v>0.5</v>
      </c>
      <c r="AG43" s="13">
        <f t="shared" si="29"/>
        <v>0.5</v>
      </c>
      <c r="AH43" s="62">
        <v>1</v>
      </c>
      <c r="AI43" s="143">
        <v>1</v>
      </c>
      <c r="AJ43" s="13">
        <f t="shared" si="30"/>
        <v>0.5</v>
      </c>
      <c r="AK43" s="62">
        <v>1</v>
      </c>
      <c r="AL43" s="143">
        <v>1</v>
      </c>
      <c r="AM43" s="13">
        <f t="shared" si="6"/>
        <v>0.5</v>
      </c>
      <c r="AN43" s="62"/>
      <c r="AO43" s="143"/>
      <c r="AP43" s="13">
        <f t="shared" si="7"/>
        <v>0.5</v>
      </c>
      <c r="AQ43" s="62"/>
      <c r="AR43" s="143"/>
      <c r="AS43" s="13">
        <f t="shared" si="8"/>
        <v>0.5</v>
      </c>
      <c r="AT43" s="62">
        <v>6</v>
      </c>
      <c r="AU43" s="143">
        <f>0.5+1+1+1+2+1</f>
        <v>6.5</v>
      </c>
      <c r="AV43" s="13">
        <f t="shared" si="9"/>
        <v>0</v>
      </c>
      <c r="AW43" s="62"/>
      <c r="AX43" s="143"/>
      <c r="AY43" s="13">
        <f t="shared" si="10"/>
        <v>0</v>
      </c>
      <c r="AZ43" s="62">
        <f>-1+4</f>
        <v>3</v>
      </c>
      <c r="BA43" s="143">
        <f>0.5+1+0.5</f>
        <v>2</v>
      </c>
      <c r="BB43" s="13">
        <f t="shared" si="11"/>
        <v>1</v>
      </c>
      <c r="BC43" s="62"/>
      <c r="BD43" s="143">
        <f>0.5</f>
        <v>0.5</v>
      </c>
      <c r="BE43" s="13">
        <f t="shared" si="12"/>
        <v>0.5</v>
      </c>
      <c r="BF43" s="62"/>
      <c r="BG43" s="143"/>
      <c r="BH43" s="13">
        <f t="shared" si="13"/>
        <v>0.5</v>
      </c>
      <c r="BI43" s="184"/>
      <c r="BJ43" s="143"/>
      <c r="BK43" s="13">
        <f t="shared" si="14"/>
        <v>0.5</v>
      </c>
      <c r="BL43" s="62">
        <v>2</v>
      </c>
      <c r="BM43" s="143">
        <f>0.5+1.5</f>
        <v>2</v>
      </c>
      <c r="BN43" s="13">
        <f t="shared" si="15"/>
        <v>0.5</v>
      </c>
      <c r="BO43" s="62">
        <v>4</v>
      </c>
      <c r="BP43" s="143">
        <f>0.5+1+1.5+0.5+0.5</f>
        <v>4</v>
      </c>
      <c r="BQ43" s="13">
        <f t="shared" si="16"/>
        <v>0.5</v>
      </c>
      <c r="BR43" s="62"/>
      <c r="BS43" s="143"/>
      <c r="BT43" s="13">
        <f t="shared" si="17"/>
        <v>0.5</v>
      </c>
      <c r="BU43" s="62"/>
      <c r="BV43" s="143">
        <f>0.5</f>
        <v>0.5</v>
      </c>
      <c r="BW43" s="13">
        <f t="shared" si="18"/>
        <v>0</v>
      </c>
      <c r="BX43" s="62">
        <v>2</v>
      </c>
      <c r="BY43" s="143">
        <f>0.5+1</f>
        <v>1.5</v>
      </c>
      <c r="BZ43" s="13">
        <f t="shared" si="19"/>
        <v>0.5</v>
      </c>
      <c r="CA43" s="62"/>
      <c r="CB43" s="143"/>
      <c r="CC43" s="13">
        <f t="shared" si="20"/>
        <v>0.5</v>
      </c>
      <c r="CD43" s="62"/>
      <c r="CE43" s="143"/>
      <c r="CF43" s="13">
        <f t="shared" si="21"/>
        <v>0.5</v>
      </c>
      <c r="CG43" s="62"/>
      <c r="CH43" s="143">
        <f>0.5</f>
        <v>0.5</v>
      </c>
      <c r="CI43" s="13">
        <f t="shared" si="31"/>
        <v>0</v>
      </c>
      <c r="CJ43" s="62">
        <v>3</v>
      </c>
      <c r="CK43" s="143">
        <f>0.5+1.5+0.5</f>
        <v>2.5</v>
      </c>
      <c r="CL43" s="13">
        <f t="shared" si="32"/>
        <v>0.5</v>
      </c>
      <c r="CM43" s="62"/>
      <c r="CN43" s="143"/>
      <c r="CO43" s="13">
        <f t="shared" si="22"/>
        <v>0.5</v>
      </c>
      <c r="CP43" s="62">
        <v>1</v>
      </c>
      <c r="CQ43" s="143">
        <v>1</v>
      </c>
      <c r="CR43" s="13">
        <f t="shared" si="33"/>
        <v>0.5</v>
      </c>
      <c r="CS43" s="62">
        <v>1</v>
      </c>
      <c r="CT43" s="143"/>
      <c r="CU43" s="14">
        <f t="shared" si="23"/>
        <v>1.5</v>
      </c>
      <c r="CV43" s="5">
        <f t="shared" si="36"/>
        <v>30</v>
      </c>
      <c r="CW43" s="4">
        <f t="shared" si="36"/>
        <v>28.5</v>
      </c>
      <c r="CX43" s="6">
        <f t="shared" si="25"/>
        <v>1.5</v>
      </c>
      <c r="CY43" s="162">
        <v>450</v>
      </c>
      <c r="CZ43" s="171">
        <f t="shared" si="26"/>
        <v>675</v>
      </c>
      <c r="DB43" s="2">
        <f t="shared" si="34"/>
        <v>1.5</v>
      </c>
      <c r="DC43" s="62"/>
      <c r="DD43" s="143">
        <f>0.5+1</f>
        <v>1.5</v>
      </c>
      <c r="DE43" s="149">
        <f t="shared" si="35"/>
        <v>0</v>
      </c>
    </row>
    <row r="44" spans="1:109" ht="16.5" customHeight="1">
      <c r="A44" s="33"/>
      <c r="B44" s="3" t="s">
        <v>92</v>
      </c>
      <c r="C44" s="104" t="s">
        <v>27</v>
      </c>
      <c r="D44" s="34"/>
      <c r="E44" s="34" t="s">
        <v>93</v>
      </c>
      <c r="F44" s="14">
        <v>0</v>
      </c>
      <c r="G44" s="62"/>
      <c r="H44" s="143"/>
      <c r="I44" s="13">
        <f t="shared" si="0"/>
        <v>0</v>
      </c>
      <c r="J44" s="62"/>
      <c r="K44" s="143"/>
      <c r="L44" s="13">
        <f t="shared" si="1"/>
        <v>0</v>
      </c>
      <c r="M44" s="61"/>
      <c r="N44" s="143"/>
      <c r="O44" s="13">
        <f t="shared" si="2"/>
        <v>0</v>
      </c>
      <c r="P44" s="62"/>
      <c r="Q44" s="143"/>
      <c r="R44" s="30">
        <f t="shared" si="3"/>
        <v>0</v>
      </c>
      <c r="S44" s="61"/>
      <c r="T44" s="143"/>
      <c r="U44" s="13">
        <f t="shared" si="4"/>
        <v>0</v>
      </c>
      <c r="V44" s="62"/>
      <c r="W44" s="143"/>
      <c r="X44" s="13">
        <f t="shared" si="5"/>
        <v>0</v>
      </c>
      <c r="Y44" s="62"/>
      <c r="Z44" s="143"/>
      <c r="AA44" s="13">
        <f t="shared" si="27"/>
        <v>0</v>
      </c>
      <c r="AB44" s="62"/>
      <c r="AC44" s="143"/>
      <c r="AD44" s="13">
        <f t="shared" si="28"/>
        <v>0</v>
      </c>
      <c r="AE44" s="62"/>
      <c r="AF44" s="143"/>
      <c r="AG44" s="13">
        <f t="shared" si="29"/>
        <v>0</v>
      </c>
      <c r="AH44" s="62"/>
      <c r="AI44" s="143"/>
      <c r="AJ44" s="13">
        <f t="shared" si="30"/>
        <v>0</v>
      </c>
      <c r="AK44" s="62"/>
      <c r="AL44" s="143"/>
      <c r="AM44" s="13">
        <f t="shared" si="6"/>
        <v>0</v>
      </c>
      <c r="AN44" s="62"/>
      <c r="AO44" s="143"/>
      <c r="AP44" s="13">
        <f t="shared" si="7"/>
        <v>0</v>
      </c>
      <c r="AQ44" s="62"/>
      <c r="AR44" s="143"/>
      <c r="AS44" s="13">
        <f t="shared" si="8"/>
        <v>0</v>
      </c>
      <c r="AT44" s="62">
        <v>5</v>
      </c>
      <c r="AU44" s="143">
        <v>1</v>
      </c>
      <c r="AV44" s="13">
        <f t="shared" si="9"/>
        <v>4</v>
      </c>
      <c r="AW44" s="62"/>
      <c r="AX44" s="143"/>
      <c r="AY44" s="13">
        <f t="shared" si="10"/>
        <v>4</v>
      </c>
      <c r="AZ44" s="62"/>
      <c r="BA44" s="143"/>
      <c r="BB44" s="13">
        <f t="shared" si="11"/>
        <v>4</v>
      </c>
      <c r="BC44" s="62"/>
      <c r="BD44" s="143"/>
      <c r="BE44" s="13">
        <f t="shared" si="12"/>
        <v>4</v>
      </c>
      <c r="BF44" s="62"/>
      <c r="BG44" s="143"/>
      <c r="BH44" s="13">
        <f t="shared" si="13"/>
        <v>4</v>
      </c>
      <c r="BI44" s="184"/>
      <c r="BJ44" s="143"/>
      <c r="BK44" s="13">
        <f t="shared" si="14"/>
        <v>4</v>
      </c>
      <c r="BL44" s="62"/>
      <c r="BM44" s="143"/>
      <c r="BN44" s="13">
        <f t="shared" si="15"/>
        <v>4</v>
      </c>
      <c r="BO44" s="62"/>
      <c r="BP44" s="143"/>
      <c r="BQ44" s="13">
        <f t="shared" si="16"/>
        <v>4</v>
      </c>
      <c r="BR44" s="62"/>
      <c r="BS44" s="143"/>
      <c r="BT44" s="13">
        <f t="shared" si="17"/>
        <v>4</v>
      </c>
      <c r="BU44" s="62"/>
      <c r="BV44" s="143"/>
      <c r="BW44" s="13">
        <f t="shared" si="18"/>
        <v>4</v>
      </c>
      <c r="BX44" s="62"/>
      <c r="BY44" s="143"/>
      <c r="BZ44" s="13">
        <f t="shared" si="19"/>
        <v>4</v>
      </c>
      <c r="CA44" s="62"/>
      <c r="CB44" s="143"/>
      <c r="CC44" s="13">
        <f t="shared" si="20"/>
        <v>4</v>
      </c>
      <c r="CD44" s="62"/>
      <c r="CE44" s="143"/>
      <c r="CF44" s="13">
        <f t="shared" si="21"/>
        <v>4</v>
      </c>
      <c r="CG44" s="62"/>
      <c r="CH44" s="143">
        <v>1</v>
      </c>
      <c r="CI44" s="13">
        <f t="shared" si="31"/>
        <v>3</v>
      </c>
      <c r="CJ44" s="62"/>
      <c r="CK44" s="143"/>
      <c r="CL44" s="13">
        <f t="shared" si="32"/>
        <v>3</v>
      </c>
      <c r="CM44" s="62"/>
      <c r="CN44" s="143"/>
      <c r="CO44" s="13">
        <f t="shared" si="22"/>
        <v>3</v>
      </c>
      <c r="CP44" s="62"/>
      <c r="CQ44" s="143"/>
      <c r="CR44" s="13">
        <f t="shared" si="33"/>
        <v>3</v>
      </c>
      <c r="CS44" s="61"/>
      <c r="CT44" s="143"/>
      <c r="CU44" s="14">
        <f t="shared" si="23"/>
        <v>3</v>
      </c>
      <c r="CV44" s="5">
        <f t="shared" si="36"/>
        <v>5</v>
      </c>
      <c r="CW44" s="4">
        <f t="shared" si="36"/>
        <v>2</v>
      </c>
      <c r="CX44" s="6">
        <f t="shared" si="25"/>
        <v>3</v>
      </c>
      <c r="CY44" s="162">
        <v>0</v>
      </c>
      <c r="CZ44" s="171">
        <f t="shared" si="26"/>
        <v>0</v>
      </c>
      <c r="DB44" s="2">
        <f t="shared" si="34"/>
        <v>3</v>
      </c>
      <c r="DC44" s="61"/>
      <c r="DD44" s="143"/>
      <c r="DE44" s="149">
        <f t="shared" si="35"/>
        <v>3</v>
      </c>
    </row>
    <row r="45" spans="1:109" ht="15.75" customHeight="1">
      <c r="A45" s="33"/>
      <c r="B45" s="3" t="s">
        <v>94</v>
      </c>
      <c r="C45" s="104" t="s">
        <v>21</v>
      </c>
      <c r="D45" s="34">
        <v>8</v>
      </c>
      <c r="E45" s="34" t="s">
        <v>21</v>
      </c>
      <c r="F45" s="14">
        <v>0</v>
      </c>
      <c r="G45" s="62"/>
      <c r="H45" s="143"/>
      <c r="I45" s="13">
        <f t="shared" si="0"/>
        <v>0</v>
      </c>
      <c r="J45" s="62"/>
      <c r="K45" s="143"/>
      <c r="L45" s="13">
        <f t="shared" si="1"/>
        <v>0</v>
      </c>
      <c r="M45" s="61"/>
      <c r="N45" s="143"/>
      <c r="O45" s="13">
        <f t="shared" si="2"/>
        <v>0</v>
      </c>
      <c r="P45" s="62"/>
      <c r="Q45" s="143"/>
      <c r="R45" s="30">
        <f t="shared" si="3"/>
        <v>0</v>
      </c>
      <c r="S45" s="61"/>
      <c r="T45" s="143"/>
      <c r="U45" s="13">
        <f t="shared" si="4"/>
        <v>0</v>
      </c>
      <c r="V45" s="62"/>
      <c r="W45" s="143"/>
      <c r="X45" s="13">
        <f t="shared" si="5"/>
        <v>0</v>
      </c>
      <c r="Y45" s="62">
        <v>6</v>
      </c>
      <c r="Z45" s="143">
        <f>3+1</f>
        <v>4</v>
      </c>
      <c r="AA45" s="13">
        <f t="shared" si="27"/>
        <v>2</v>
      </c>
      <c r="AB45" s="62"/>
      <c r="AC45" s="143"/>
      <c r="AD45" s="13">
        <f t="shared" si="28"/>
        <v>2</v>
      </c>
      <c r="AE45" s="62"/>
      <c r="AF45" s="143"/>
      <c r="AG45" s="13">
        <f t="shared" si="29"/>
        <v>2</v>
      </c>
      <c r="AH45" s="62">
        <v>6</v>
      </c>
      <c r="AI45" s="143"/>
      <c r="AJ45" s="13">
        <f t="shared" si="30"/>
        <v>8</v>
      </c>
      <c r="AK45" s="62"/>
      <c r="AL45" s="143">
        <v>2</v>
      </c>
      <c r="AM45" s="13">
        <f t="shared" si="6"/>
        <v>6</v>
      </c>
      <c r="AN45" s="62"/>
      <c r="AO45" s="143"/>
      <c r="AP45" s="13">
        <f t="shared" si="7"/>
        <v>6</v>
      </c>
      <c r="AQ45" s="62"/>
      <c r="AR45" s="143">
        <v>4</v>
      </c>
      <c r="AS45" s="13">
        <f t="shared" si="8"/>
        <v>2</v>
      </c>
      <c r="AT45" s="62">
        <v>6</v>
      </c>
      <c r="AU45" s="143">
        <v>4</v>
      </c>
      <c r="AV45" s="13">
        <f t="shared" si="9"/>
        <v>4</v>
      </c>
      <c r="AW45" s="62"/>
      <c r="AX45" s="143"/>
      <c r="AY45" s="13">
        <f t="shared" si="10"/>
        <v>4</v>
      </c>
      <c r="AZ45" s="62">
        <v>2</v>
      </c>
      <c r="BA45" s="143">
        <f>2</f>
        <v>2</v>
      </c>
      <c r="BB45" s="13">
        <f t="shared" si="11"/>
        <v>4</v>
      </c>
      <c r="BC45" s="62">
        <f>-5+17</f>
        <v>12</v>
      </c>
      <c r="BD45" s="143">
        <v>4</v>
      </c>
      <c r="BE45" s="13">
        <f t="shared" si="12"/>
        <v>12</v>
      </c>
      <c r="BF45" s="62">
        <v>4</v>
      </c>
      <c r="BG45" s="143">
        <f>5+3</f>
        <v>8</v>
      </c>
      <c r="BH45" s="13">
        <f t="shared" si="13"/>
        <v>8</v>
      </c>
      <c r="BI45" s="184"/>
      <c r="BJ45" s="143"/>
      <c r="BK45" s="13">
        <f t="shared" si="14"/>
        <v>8</v>
      </c>
      <c r="BL45" s="62">
        <v>4</v>
      </c>
      <c r="BM45" s="143">
        <v>4</v>
      </c>
      <c r="BN45" s="13">
        <f t="shared" si="15"/>
        <v>8</v>
      </c>
      <c r="BO45" s="62">
        <v>5</v>
      </c>
      <c r="BP45" s="143">
        <f>4+3</f>
        <v>7</v>
      </c>
      <c r="BQ45" s="13">
        <f t="shared" si="16"/>
        <v>6</v>
      </c>
      <c r="BR45" s="62"/>
      <c r="BS45" s="143"/>
      <c r="BT45" s="13">
        <f t="shared" si="17"/>
        <v>6</v>
      </c>
      <c r="BU45" s="62">
        <v>5</v>
      </c>
      <c r="BV45" s="143">
        <v>5</v>
      </c>
      <c r="BW45" s="13">
        <f t="shared" si="18"/>
        <v>6</v>
      </c>
      <c r="BX45" s="62">
        <v>5</v>
      </c>
      <c r="BY45" s="143">
        <v>3</v>
      </c>
      <c r="BZ45" s="13">
        <f t="shared" si="19"/>
        <v>8</v>
      </c>
      <c r="CA45" s="62">
        <v>5</v>
      </c>
      <c r="CB45" s="143">
        <v>6</v>
      </c>
      <c r="CC45" s="13">
        <f t="shared" si="20"/>
        <v>7</v>
      </c>
      <c r="CD45" s="62"/>
      <c r="CE45" s="143"/>
      <c r="CF45" s="13">
        <f t="shared" si="21"/>
        <v>7</v>
      </c>
      <c r="CG45" s="62">
        <v>6</v>
      </c>
      <c r="CH45" s="143">
        <v>5</v>
      </c>
      <c r="CI45" s="13">
        <f t="shared" si="31"/>
        <v>8</v>
      </c>
      <c r="CJ45" s="62">
        <v>8</v>
      </c>
      <c r="CK45" s="143">
        <f>8+2</f>
        <v>10</v>
      </c>
      <c r="CL45" s="13">
        <f t="shared" si="32"/>
        <v>6</v>
      </c>
      <c r="CM45" s="62"/>
      <c r="CN45" s="143"/>
      <c r="CO45" s="13">
        <f t="shared" si="22"/>
        <v>6</v>
      </c>
      <c r="CP45" s="62">
        <v>4</v>
      </c>
      <c r="CQ45" s="143">
        <v>4</v>
      </c>
      <c r="CR45" s="13">
        <f t="shared" si="33"/>
        <v>6</v>
      </c>
      <c r="CS45" s="62"/>
      <c r="CT45" s="143">
        <v>2</v>
      </c>
      <c r="CU45" s="14">
        <f t="shared" si="23"/>
        <v>4</v>
      </c>
      <c r="CV45" s="5">
        <f t="shared" si="36"/>
        <v>78</v>
      </c>
      <c r="CW45" s="4">
        <f t="shared" si="36"/>
        <v>74</v>
      </c>
      <c r="CX45" s="6">
        <f t="shared" si="25"/>
        <v>4</v>
      </c>
      <c r="CY45" s="162">
        <v>250</v>
      </c>
      <c r="CZ45" s="171">
        <f t="shared" si="26"/>
        <v>1000</v>
      </c>
      <c r="DB45" s="2">
        <f t="shared" si="34"/>
        <v>4</v>
      </c>
      <c r="DC45" s="62"/>
      <c r="DD45" s="143"/>
      <c r="DE45" s="149">
        <f t="shared" si="35"/>
        <v>4</v>
      </c>
    </row>
    <row r="46" spans="1:109" ht="15.75" customHeight="1">
      <c r="A46" s="33"/>
      <c r="B46" s="3" t="s">
        <v>95</v>
      </c>
      <c r="C46" s="104" t="s">
        <v>21</v>
      </c>
      <c r="D46" s="34">
        <v>8</v>
      </c>
      <c r="E46" s="34" t="s">
        <v>21</v>
      </c>
      <c r="F46" s="14">
        <v>0</v>
      </c>
      <c r="G46" s="176"/>
      <c r="H46" s="143"/>
      <c r="I46" s="13">
        <f t="shared" si="0"/>
        <v>0</v>
      </c>
      <c r="J46" s="176"/>
      <c r="K46" s="143"/>
      <c r="L46" s="13">
        <f t="shared" si="1"/>
        <v>0</v>
      </c>
      <c r="M46" s="63"/>
      <c r="N46" s="143"/>
      <c r="O46" s="13">
        <f t="shared" si="2"/>
        <v>0</v>
      </c>
      <c r="P46" s="176"/>
      <c r="Q46" s="143"/>
      <c r="R46" s="30">
        <f t="shared" si="3"/>
        <v>0</v>
      </c>
      <c r="S46" s="63"/>
      <c r="T46" s="143"/>
      <c r="U46" s="13">
        <f t="shared" si="4"/>
        <v>0</v>
      </c>
      <c r="V46" s="176"/>
      <c r="W46" s="143"/>
      <c r="X46" s="13">
        <f t="shared" si="5"/>
        <v>0</v>
      </c>
      <c r="Y46" s="176"/>
      <c r="Z46" s="143"/>
      <c r="AA46" s="13">
        <f t="shared" si="27"/>
        <v>0</v>
      </c>
      <c r="AB46" s="176"/>
      <c r="AC46" s="143"/>
      <c r="AD46" s="13">
        <f t="shared" si="28"/>
        <v>0</v>
      </c>
      <c r="AE46" s="176"/>
      <c r="AF46" s="143"/>
      <c r="AG46" s="13">
        <f t="shared" si="29"/>
        <v>0</v>
      </c>
      <c r="AH46" s="176">
        <v>8</v>
      </c>
      <c r="AI46" s="143"/>
      <c r="AJ46" s="13">
        <f t="shared" si="30"/>
        <v>8</v>
      </c>
      <c r="AK46" s="176"/>
      <c r="AL46" s="143">
        <v>2</v>
      </c>
      <c r="AM46" s="13">
        <f t="shared" si="6"/>
        <v>6</v>
      </c>
      <c r="AN46" s="176"/>
      <c r="AO46" s="143"/>
      <c r="AP46" s="13">
        <f t="shared" si="7"/>
        <v>6</v>
      </c>
      <c r="AQ46" s="176"/>
      <c r="AR46" s="143">
        <v>4</v>
      </c>
      <c r="AS46" s="13">
        <f t="shared" si="8"/>
        <v>2</v>
      </c>
      <c r="AT46" s="176">
        <v>4</v>
      </c>
      <c r="AU46" s="143">
        <v>2</v>
      </c>
      <c r="AV46" s="13">
        <f t="shared" si="9"/>
        <v>4</v>
      </c>
      <c r="AW46" s="176"/>
      <c r="AX46" s="143"/>
      <c r="AY46" s="13">
        <f t="shared" si="10"/>
        <v>4</v>
      </c>
      <c r="AZ46" s="176">
        <v>2</v>
      </c>
      <c r="BA46" s="143">
        <f>2</f>
        <v>2</v>
      </c>
      <c r="BB46" s="13">
        <f t="shared" si="11"/>
        <v>4</v>
      </c>
      <c r="BC46" s="176">
        <f>-5+17</f>
        <v>12</v>
      </c>
      <c r="BD46" s="143">
        <v>4</v>
      </c>
      <c r="BE46" s="13">
        <f t="shared" si="12"/>
        <v>12</v>
      </c>
      <c r="BF46" s="176"/>
      <c r="BG46" s="143">
        <v>5</v>
      </c>
      <c r="BH46" s="13">
        <f t="shared" si="13"/>
        <v>7</v>
      </c>
      <c r="BI46" s="186"/>
      <c r="BJ46" s="143"/>
      <c r="BK46" s="13">
        <f t="shared" si="14"/>
        <v>7</v>
      </c>
      <c r="BL46" s="176">
        <v>5</v>
      </c>
      <c r="BM46" s="143">
        <v>4</v>
      </c>
      <c r="BN46" s="13">
        <f t="shared" si="15"/>
        <v>8</v>
      </c>
      <c r="BO46" s="176">
        <v>2</v>
      </c>
      <c r="BP46" s="143">
        <v>4</v>
      </c>
      <c r="BQ46" s="13">
        <f t="shared" si="16"/>
        <v>6</v>
      </c>
      <c r="BR46" s="176"/>
      <c r="BS46" s="143"/>
      <c r="BT46" s="13">
        <f t="shared" si="17"/>
        <v>6</v>
      </c>
      <c r="BU46" s="176">
        <v>5</v>
      </c>
      <c r="BV46" s="143">
        <v>5</v>
      </c>
      <c r="BW46" s="13">
        <f t="shared" si="18"/>
        <v>6</v>
      </c>
      <c r="BX46" s="176">
        <v>5</v>
      </c>
      <c r="BY46" s="143">
        <v>3</v>
      </c>
      <c r="BZ46" s="13">
        <f t="shared" si="19"/>
        <v>8</v>
      </c>
      <c r="CA46" s="176">
        <v>5</v>
      </c>
      <c r="CB46" s="143">
        <v>6</v>
      </c>
      <c r="CC46" s="13">
        <f t="shared" si="20"/>
        <v>7</v>
      </c>
      <c r="CD46" s="176"/>
      <c r="CE46" s="143"/>
      <c r="CF46" s="13">
        <f t="shared" si="21"/>
        <v>7</v>
      </c>
      <c r="CG46" s="176">
        <v>6</v>
      </c>
      <c r="CH46" s="143">
        <v>5</v>
      </c>
      <c r="CI46" s="13">
        <f t="shared" si="31"/>
        <v>8</v>
      </c>
      <c r="CJ46" s="176">
        <v>6</v>
      </c>
      <c r="CK46" s="143">
        <v>8</v>
      </c>
      <c r="CL46" s="13">
        <f t="shared" si="32"/>
        <v>6</v>
      </c>
      <c r="CM46" s="176"/>
      <c r="CN46" s="143"/>
      <c r="CO46" s="13">
        <f t="shared" si="22"/>
        <v>6</v>
      </c>
      <c r="CP46" s="176">
        <v>4</v>
      </c>
      <c r="CQ46" s="143">
        <v>4</v>
      </c>
      <c r="CR46" s="13">
        <f t="shared" si="33"/>
        <v>6</v>
      </c>
      <c r="CS46" s="63"/>
      <c r="CT46" s="143">
        <v>2</v>
      </c>
      <c r="CU46" s="14">
        <f t="shared" si="23"/>
        <v>4</v>
      </c>
      <c r="CV46" s="5">
        <f t="shared" si="36"/>
        <v>64</v>
      </c>
      <c r="CW46" s="4">
        <f t="shared" si="36"/>
        <v>60</v>
      </c>
      <c r="CX46" s="6">
        <f t="shared" si="25"/>
        <v>4</v>
      </c>
      <c r="CY46" s="162">
        <v>250</v>
      </c>
      <c r="CZ46" s="171">
        <f t="shared" si="26"/>
        <v>1000</v>
      </c>
      <c r="DB46" s="2">
        <f t="shared" si="34"/>
        <v>4</v>
      </c>
      <c r="DC46" s="63"/>
      <c r="DD46" s="143"/>
      <c r="DE46" s="149">
        <f t="shared" si="35"/>
        <v>4</v>
      </c>
    </row>
    <row r="47" spans="1:109" ht="15.75" customHeight="1">
      <c r="A47" s="33" t="s">
        <v>96</v>
      </c>
      <c r="B47" s="3" t="s">
        <v>97</v>
      </c>
      <c r="C47" s="104" t="s">
        <v>27</v>
      </c>
      <c r="D47" s="34"/>
      <c r="E47" s="34" t="s">
        <v>26</v>
      </c>
      <c r="F47" s="14">
        <v>0</v>
      </c>
      <c r="G47" s="176"/>
      <c r="H47" s="143"/>
      <c r="I47" s="13">
        <f t="shared" si="0"/>
        <v>0</v>
      </c>
      <c r="J47" s="176"/>
      <c r="K47" s="143"/>
      <c r="L47" s="13">
        <f t="shared" si="1"/>
        <v>0</v>
      </c>
      <c r="M47" s="63"/>
      <c r="N47" s="143"/>
      <c r="O47" s="13">
        <f t="shared" si="2"/>
        <v>0</v>
      </c>
      <c r="P47" s="176"/>
      <c r="Q47" s="143"/>
      <c r="R47" s="30">
        <f t="shared" si="3"/>
        <v>0</v>
      </c>
      <c r="S47" s="63"/>
      <c r="T47" s="143"/>
      <c r="U47" s="13">
        <f t="shared" si="4"/>
        <v>0</v>
      </c>
      <c r="V47" s="176"/>
      <c r="W47" s="143"/>
      <c r="X47" s="13">
        <f t="shared" si="5"/>
        <v>0</v>
      </c>
      <c r="Y47" s="176"/>
      <c r="Z47" s="143"/>
      <c r="AA47" s="13">
        <f t="shared" si="27"/>
        <v>0</v>
      </c>
      <c r="AB47" s="176"/>
      <c r="AC47" s="143"/>
      <c r="AD47" s="13">
        <f t="shared" si="28"/>
        <v>0</v>
      </c>
      <c r="AE47" s="176"/>
      <c r="AF47" s="143"/>
      <c r="AG47" s="13">
        <f t="shared" si="29"/>
        <v>0</v>
      </c>
      <c r="AH47" s="176"/>
      <c r="AI47" s="143"/>
      <c r="AJ47" s="13">
        <f t="shared" si="30"/>
        <v>0</v>
      </c>
      <c r="AK47" s="176"/>
      <c r="AL47" s="143"/>
      <c r="AM47" s="13">
        <f t="shared" si="6"/>
        <v>0</v>
      </c>
      <c r="AN47" s="176"/>
      <c r="AO47" s="143"/>
      <c r="AP47" s="13">
        <f t="shared" si="7"/>
        <v>0</v>
      </c>
      <c r="AQ47" s="176"/>
      <c r="AR47" s="143"/>
      <c r="AS47" s="13">
        <f t="shared" si="8"/>
        <v>0</v>
      </c>
      <c r="AT47" s="176">
        <v>9</v>
      </c>
      <c r="AU47" s="143">
        <f>3+2</f>
        <v>5</v>
      </c>
      <c r="AV47" s="13">
        <f t="shared" si="9"/>
        <v>4</v>
      </c>
      <c r="AW47" s="176"/>
      <c r="AX47" s="143"/>
      <c r="AY47" s="13">
        <f t="shared" si="10"/>
        <v>4</v>
      </c>
      <c r="AZ47" s="176"/>
      <c r="BA47" s="143">
        <v>4</v>
      </c>
      <c r="BB47" s="13">
        <f t="shared" si="11"/>
        <v>0</v>
      </c>
      <c r="BC47" s="176"/>
      <c r="BD47" s="143"/>
      <c r="BE47" s="13">
        <f t="shared" si="12"/>
        <v>0</v>
      </c>
      <c r="BF47" s="176"/>
      <c r="BG47" s="143"/>
      <c r="BH47" s="13">
        <f t="shared" si="13"/>
        <v>0</v>
      </c>
      <c r="BI47" s="186"/>
      <c r="BJ47" s="143"/>
      <c r="BK47" s="13">
        <f t="shared" si="14"/>
        <v>0</v>
      </c>
      <c r="BL47" s="176"/>
      <c r="BM47" s="143"/>
      <c r="BN47" s="13">
        <f t="shared" si="15"/>
        <v>0</v>
      </c>
      <c r="BO47" s="176"/>
      <c r="BP47" s="143"/>
      <c r="BQ47" s="13">
        <f t="shared" si="16"/>
        <v>0</v>
      </c>
      <c r="BR47" s="176"/>
      <c r="BS47" s="143"/>
      <c r="BT47" s="13">
        <f t="shared" si="17"/>
        <v>0</v>
      </c>
      <c r="BU47" s="176">
        <v>5</v>
      </c>
      <c r="BV47" s="143">
        <f>1</f>
        <v>1</v>
      </c>
      <c r="BW47" s="13">
        <f t="shared" si="18"/>
        <v>4</v>
      </c>
      <c r="BX47" s="176">
        <v>5</v>
      </c>
      <c r="BY47" s="143"/>
      <c r="BZ47" s="13">
        <f t="shared" si="19"/>
        <v>9</v>
      </c>
      <c r="CA47" s="176">
        <v>2</v>
      </c>
      <c r="CB47" s="143">
        <f>5+3+1+2</f>
        <v>11</v>
      </c>
      <c r="CC47" s="13">
        <f t="shared" si="20"/>
        <v>0</v>
      </c>
      <c r="CD47" s="176"/>
      <c r="CE47" s="143"/>
      <c r="CF47" s="13">
        <f t="shared" si="21"/>
        <v>0</v>
      </c>
      <c r="CG47" s="176"/>
      <c r="CH47" s="143"/>
      <c r="CI47" s="13">
        <f t="shared" si="31"/>
        <v>0</v>
      </c>
      <c r="CJ47" s="176"/>
      <c r="CK47" s="143"/>
      <c r="CL47" s="13">
        <f t="shared" si="32"/>
        <v>0</v>
      </c>
      <c r="CM47" s="176"/>
      <c r="CN47" s="143"/>
      <c r="CO47" s="13">
        <f t="shared" si="22"/>
        <v>0</v>
      </c>
      <c r="CP47" s="176"/>
      <c r="CQ47" s="143"/>
      <c r="CR47" s="13">
        <f t="shared" si="33"/>
        <v>0</v>
      </c>
      <c r="CS47" s="63">
        <v>2</v>
      </c>
      <c r="CT47" s="143"/>
      <c r="CU47" s="14">
        <f t="shared" si="23"/>
        <v>2</v>
      </c>
      <c r="CV47" s="5">
        <f t="shared" si="36"/>
        <v>23</v>
      </c>
      <c r="CW47" s="4">
        <f t="shared" si="36"/>
        <v>21</v>
      </c>
      <c r="CX47" s="6">
        <f t="shared" si="25"/>
        <v>2</v>
      </c>
      <c r="CY47" s="162">
        <v>130</v>
      </c>
      <c r="CZ47" s="171">
        <f t="shared" si="26"/>
        <v>260</v>
      </c>
      <c r="DB47" s="2">
        <f t="shared" si="34"/>
        <v>2</v>
      </c>
      <c r="DC47" s="63"/>
      <c r="DD47" s="143">
        <v>2</v>
      </c>
      <c r="DE47" s="149">
        <f t="shared" si="35"/>
        <v>0</v>
      </c>
    </row>
    <row r="48" spans="1:109" ht="15.75" customHeight="1">
      <c r="A48" s="33" t="s">
        <v>98</v>
      </c>
      <c r="B48" s="157" t="s">
        <v>99</v>
      </c>
      <c r="C48" s="158" t="s">
        <v>50</v>
      </c>
      <c r="D48" s="159">
        <v>2</v>
      </c>
      <c r="E48" s="159" t="s">
        <v>33</v>
      </c>
      <c r="F48" s="14">
        <v>3.8699999999999957</v>
      </c>
      <c r="G48" s="62"/>
      <c r="H48" s="143"/>
      <c r="I48" s="13">
        <f t="shared" si="0"/>
        <v>3.8699999999999957</v>
      </c>
      <c r="J48" s="62"/>
      <c r="K48" s="143"/>
      <c r="L48" s="13">
        <f t="shared" si="1"/>
        <v>3.8699999999999957</v>
      </c>
      <c r="M48" s="61">
        <v>4</v>
      </c>
      <c r="N48" s="143">
        <f>0.1+1</f>
        <v>1.1000000000000001</v>
      </c>
      <c r="O48" s="13">
        <f t="shared" si="2"/>
        <v>6.769999999999996</v>
      </c>
      <c r="P48" s="62"/>
      <c r="Q48" s="143">
        <f>0.8</f>
        <v>0.8</v>
      </c>
      <c r="R48" s="30">
        <f t="shared" si="3"/>
        <v>5.9699999999999962</v>
      </c>
      <c r="S48" s="61"/>
      <c r="T48" s="143"/>
      <c r="U48" s="13">
        <f t="shared" si="4"/>
        <v>5.9699999999999962</v>
      </c>
      <c r="V48" s="62"/>
      <c r="W48" s="143">
        <f>1+0.5</f>
        <v>1.5</v>
      </c>
      <c r="X48" s="13">
        <f t="shared" si="5"/>
        <v>4.4699999999999962</v>
      </c>
      <c r="Y48" s="62"/>
      <c r="Z48" s="143">
        <f>0.3+0.6</f>
        <v>0.89999999999999991</v>
      </c>
      <c r="AA48" s="13">
        <f t="shared" si="27"/>
        <v>3.5699999999999963</v>
      </c>
      <c r="AB48" s="62"/>
      <c r="AC48" s="143"/>
      <c r="AD48" s="13">
        <f t="shared" si="28"/>
        <v>3.5699999999999963</v>
      </c>
      <c r="AE48" s="62"/>
      <c r="AF48" s="143"/>
      <c r="AG48" s="13">
        <f t="shared" si="29"/>
        <v>3.5699999999999963</v>
      </c>
      <c r="AH48" s="62">
        <v>4</v>
      </c>
      <c r="AI48" s="143">
        <v>2.1</v>
      </c>
      <c r="AJ48" s="13">
        <f t="shared" si="30"/>
        <v>5.4699999999999971</v>
      </c>
      <c r="AK48" s="62">
        <v>-0.6</v>
      </c>
      <c r="AL48" s="143">
        <f>1</f>
        <v>1</v>
      </c>
      <c r="AM48" s="13">
        <f t="shared" si="6"/>
        <v>3.8699999999999974</v>
      </c>
      <c r="AN48" s="62"/>
      <c r="AO48" s="143"/>
      <c r="AP48" s="13">
        <f t="shared" si="7"/>
        <v>3.8699999999999974</v>
      </c>
      <c r="AQ48" s="62"/>
      <c r="AR48" s="143"/>
      <c r="AS48" s="13">
        <f t="shared" si="8"/>
        <v>3.8699999999999974</v>
      </c>
      <c r="AT48" s="62"/>
      <c r="AU48" s="143">
        <f>0.9+0.8</f>
        <v>1.7000000000000002</v>
      </c>
      <c r="AV48" s="13">
        <f t="shared" si="9"/>
        <v>2.1699999999999973</v>
      </c>
      <c r="AW48" s="62"/>
      <c r="AX48" s="143"/>
      <c r="AY48" s="13">
        <f t="shared" si="10"/>
        <v>2.1699999999999973</v>
      </c>
      <c r="AZ48" s="62">
        <v>4</v>
      </c>
      <c r="BA48" s="143">
        <f>0.9+0.1</f>
        <v>1</v>
      </c>
      <c r="BB48" s="13">
        <f t="shared" si="11"/>
        <v>5.1699999999999973</v>
      </c>
      <c r="BC48" s="62"/>
      <c r="BD48" s="143">
        <f>1</f>
        <v>1</v>
      </c>
      <c r="BE48" s="13">
        <f t="shared" si="12"/>
        <v>4.1699999999999973</v>
      </c>
      <c r="BF48" s="62"/>
      <c r="BG48" s="143">
        <f>0.8+0.5+0.4</f>
        <v>1.7000000000000002</v>
      </c>
      <c r="BH48" s="13">
        <f t="shared" si="13"/>
        <v>2.4699999999999971</v>
      </c>
      <c r="BI48" s="184"/>
      <c r="BJ48" s="143"/>
      <c r="BK48" s="13">
        <f t="shared" si="14"/>
        <v>2.4699999999999971</v>
      </c>
      <c r="BL48" s="64"/>
      <c r="BM48" s="143">
        <f>0.3+0.5</f>
        <v>0.8</v>
      </c>
      <c r="BN48" s="13">
        <f t="shared" si="15"/>
        <v>1.669999999999997</v>
      </c>
      <c r="BO48" s="62">
        <v>4</v>
      </c>
      <c r="BP48" s="143">
        <f>0.9+0.3+0.4+0.6</f>
        <v>2.2000000000000002</v>
      </c>
      <c r="BQ48" s="13">
        <f t="shared" si="16"/>
        <v>3.4699999999999971</v>
      </c>
      <c r="BR48" s="62"/>
      <c r="BS48" s="143"/>
      <c r="BT48" s="13">
        <f t="shared" si="17"/>
        <v>3.4699999999999971</v>
      </c>
      <c r="BU48" s="62"/>
      <c r="BV48" s="143">
        <f>0.1+0.1+0.1</f>
        <v>0.30000000000000004</v>
      </c>
      <c r="BW48" s="13">
        <f t="shared" si="18"/>
        <v>3.1699999999999973</v>
      </c>
      <c r="BX48" s="62"/>
      <c r="BY48" s="143">
        <f>0.3</f>
        <v>0.3</v>
      </c>
      <c r="BZ48" s="13">
        <f t="shared" si="19"/>
        <v>2.8699999999999974</v>
      </c>
      <c r="CA48" s="62"/>
      <c r="CB48" s="143">
        <f>0.8</f>
        <v>0.8</v>
      </c>
      <c r="CC48" s="13">
        <f t="shared" si="20"/>
        <v>2.0699999999999976</v>
      </c>
      <c r="CD48" s="62"/>
      <c r="CE48" s="143"/>
      <c r="CF48" s="13">
        <f t="shared" si="21"/>
        <v>2.0699999999999976</v>
      </c>
      <c r="CG48" s="62">
        <v>4</v>
      </c>
      <c r="CH48" s="143">
        <f>1+0.3</f>
        <v>1.3</v>
      </c>
      <c r="CI48" s="13">
        <f t="shared" si="31"/>
        <v>4.7699999999999978</v>
      </c>
      <c r="CJ48" s="62"/>
      <c r="CK48" s="143">
        <f>0.8+0.5</f>
        <v>1.3</v>
      </c>
      <c r="CL48" s="13">
        <f t="shared" si="32"/>
        <v>3.469999999999998</v>
      </c>
      <c r="CM48" s="62"/>
      <c r="CN48" s="143"/>
      <c r="CO48" s="13">
        <f t="shared" si="22"/>
        <v>3.469999999999998</v>
      </c>
      <c r="CP48" s="62"/>
      <c r="CQ48" s="143">
        <f>0.8+0.1</f>
        <v>0.9</v>
      </c>
      <c r="CR48" s="13">
        <f t="shared" si="33"/>
        <v>2.5699999999999981</v>
      </c>
      <c r="CS48" s="61">
        <v>0.2</v>
      </c>
      <c r="CT48" s="143"/>
      <c r="CU48" s="14">
        <f t="shared" si="23"/>
        <v>2.7699999999999982</v>
      </c>
      <c r="CV48" s="5">
        <f t="shared" si="36"/>
        <v>19.599999999999998</v>
      </c>
      <c r="CW48" s="4">
        <f t="shared" si="36"/>
        <v>20.700000000000003</v>
      </c>
      <c r="CX48" s="6">
        <f t="shared" si="25"/>
        <v>2.7699999999999982</v>
      </c>
      <c r="CY48" s="162">
        <v>1000</v>
      </c>
      <c r="CZ48" s="171">
        <f t="shared" si="26"/>
        <v>2769.9999999999982</v>
      </c>
      <c r="DB48" s="2">
        <f t="shared" si="34"/>
        <v>2.7699999999999982</v>
      </c>
      <c r="DC48" s="61"/>
      <c r="DD48" s="143">
        <f>0.8+0.1+1</f>
        <v>1.9</v>
      </c>
      <c r="DE48" s="149">
        <f t="shared" si="35"/>
        <v>0.86999999999999833</v>
      </c>
    </row>
    <row r="49" spans="1:109" ht="15.75" customHeight="1">
      <c r="A49" s="33" t="s">
        <v>54</v>
      </c>
      <c r="B49" s="7" t="s">
        <v>100</v>
      </c>
      <c r="C49" s="105" t="s">
        <v>50</v>
      </c>
      <c r="D49" s="35">
        <v>8</v>
      </c>
      <c r="E49" s="35" t="s">
        <v>50</v>
      </c>
      <c r="F49" s="14">
        <v>27</v>
      </c>
      <c r="G49" s="62"/>
      <c r="H49" s="143"/>
      <c r="I49" s="13">
        <f t="shared" si="0"/>
        <v>27</v>
      </c>
      <c r="J49" s="62"/>
      <c r="K49" s="143"/>
      <c r="L49" s="13">
        <f t="shared" si="1"/>
        <v>27</v>
      </c>
      <c r="M49" s="61"/>
      <c r="N49" s="143">
        <v>8</v>
      </c>
      <c r="O49" s="13">
        <f t="shared" si="2"/>
        <v>19</v>
      </c>
      <c r="P49" s="62"/>
      <c r="Q49" s="143">
        <v>3</v>
      </c>
      <c r="R49" s="30">
        <f t="shared" si="3"/>
        <v>16</v>
      </c>
      <c r="S49" s="61"/>
      <c r="T49" s="143"/>
      <c r="U49" s="13">
        <f t="shared" si="4"/>
        <v>16</v>
      </c>
      <c r="V49" s="62"/>
      <c r="W49" s="143">
        <v>8</v>
      </c>
      <c r="X49" s="13">
        <f t="shared" si="5"/>
        <v>8</v>
      </c>
      <c r="Y49" s="62"/>
      <c r="Z49" s="143"/>
      <c r="AA49" s="13">
        <f t="shared" si="27"/>
        <v>8</v>
      </c>
      <c r="AB49" s="62"/>
      <c r="AC49" s="143"/>
      <c r="AD49" s="13">
        <f t="shared" si="28"/>
        <v>8</v>
      </c>
      <c r="AE49" s="62"/>
      <c r="AF49" s="143">
        <v>2</v>
      </c>
      <c r="AG49" s="13">
        <f t="shared" si="29"/>
        <v>6</v>
      </c>
      <c r="AH49" s="62">
        <v>10</v>
      </c>
      <c r="AI49" s="143">
        <v>1</v>
      </c>
      <c r="AJ49" s="13">
        <f t="shared" si="30"/>
        <v>15</v>
      </c>
      <c r="AK49" s="62"/>
      <c r="AL49" s="143">
        <v>3</v>
      </c>
      <c r="AM49" s="13">
        <f t="shared" si="6"/>
        <v>12</v>
      </c>
      <c r="AN49" s="62"/>
      <c r="AO49" s="143"/>
      <c r="AP49" s="13">
        <f t="shared" si="7"/>
        <v>12</v>
      </c>
      <c r="AQ49" s="62"/>
      <c r="AR49" s="143">
        <v>1</v>
      </c>
      <c r="AS49" s="13">
        <f t="shared" si="8"/>
        <v>11</v>
      </c>
      <c r="AT49" s="62">
        <v>10</v>
      </c>
      <c r="AU49" s="143">
        <v>5</v>
      </c>
      <c r="AV49" s="13">
        <f t="shared" si="9"/>
        <v>16</v>
      </c>
      <c r="AW49" s="62"/>
      <c r="AX49" s="143"/>
      <c r="AY49" s="13">
        <f t="shared" si="10"/>
        <v>16</v>
      </c>
      <c r="AZ49" s="64">
        <v>10</v>
      </c>
      <c r="BA49" s="143">
        <v>4</v>
      </c>
      <c r="BB49" s="13">
        <f t="shared" si="11"/>
        <v>22</v>
      </c>
      <c r="BC49" s="62"/>
      <c r="BD49" s="143">
        <v>1</v>
      </c>
      <c r="BE49" s="13">
        <f t="shared" si="12"/>
        <v>21</v>
      </c>
      <c r="BF49" s="62"/>
      <c r="BG49" s="143">
        <v>3</v>
      </c>
      <c r="BH49" s="13">
        <f t="shared" si="13"/>
        <v>18</v>
      </c>
      <c r="BI49" s="184"/>
      <c r="BJ49" s="143"/>
      <c r="BK49" s="13">
        <f t="shared" si="14"/>
        <v>18</v>
      </c>
      <c r="BL49" s="62"/>
      <c r="BM49" s="143">
        <v>2</v>
      </c>
      <c r="BN49" s="13">
        <f t="shared" si="15"/>
        <v>16</v>
      </c>
      <c r="BO49" s="62"/>
      <c r="BP49" s="143">
        <v>5</v>
      </c>
      <c r="BQ49" s="13">
        <f t="shared" si="16"/>
        <v>11</v>
      </c>
      <c r="BR49" s="62"/>
      <c r="BS49" s="143"/>
      <c r="BT49" s="13">
        <f t="shared" si="17"/>
        <v>11</v>
      </c>
      <c r="BU49" s="62">
        <v>10</v>
      </c>
      <c r="BV49" s="143">
        <v>5</v>
      </c>
      <c r="BW49" s="13">
        <f t="shared" si="18"/>
        <v>16</v>
      </c>
      <c r="BX49" s="62"/>
      <c r="BY49" s="143">
        <v>6</v>
      </c>
      <c r="BZ49" s="13">
        <f t="shared" si="19"/>
        <v>10</v>
      </c>
      <c r="CA49" s="62">
        <v>10</v>
      </c>
      <c r="CB49" s="143">
        <v>2</v>
      </c>
      <c r="CC49" s="13">
        <f t="shared" si="20"/>
        <v>18</v>
      </c>
      <c r="CD49" s="62"/>
      <c r="CE49" s="143"/>
      <c r="CF49" s="13">
        <f t="shared" si="21"/>
        <v>18</v>
      </c>
      <c r="CG49" s="62"/>
      <c r="CH49" s="143">
        <v>3</v>
      </c>
      <c r="CI49" s="13">
        <f t="shared" si="31"/>
        <v>15</v>
      </c>
      <c r="CJ49" s="62"/>
      <c r="CK49" s="143">
        <v>5</v>
      </c>
      <c r="CL49" s="13">
        <f t="shared" si="32"/>
        <v>10</v>
      </c>
      <c r="CM49" s="62"/>
      <c r="CN49" s="143"/>
      <c r="CO49" s="13">
        <f t="shared" si="22"/>
        <v>10</v>
      </c>
      <c r="CP49" s="62"/>
      <c r="CQ49" s="143">
        <v>2</v>
      </c>
      <c r="CR49" s="13">
        <f t="shared" si="33"/>
        <v>8</v>
      </c>
      <c r="CS49" s="61"/>
      <c r="CT49" s="143">
        <v>2</v>
      </c>
      <c r="CU49" s="14">
        <f t="shared" si="23"/>
        <v>6</v>
      </c>
      <c r="CV49" s="5">
        <f t="shared" si="36"/>
        <v>50</v>
      </c>
      <c r="CW49" s="4">
        <f t="shared" si="36"/>
        <v>71</v>
      </c>
      <c r="CX49" s="6">
        <f t="shared" si="25"/>
        <v>6</v>
      </c>
      <c r="CY49" s="162">
        <v>880</v>
      </c>
      <c r="CZ49" s="171">
        <f t="shared" si="26"/>
        <v>5280</v>
      </c>
      <c r="DB49" s="2">
        <f t="shared" si="34"/>
        <v>6</v>
      </c>
      <c r="DC49" s="61"/>
      <c r="DD49" s="143"/>
      <c r="DE49" s="149">
        <f t="shared" si="35"/>
        <v>6</v>
      </c>
    </row>
    <row r="50" spans="1:109" ht="15.75" customHeight="1">
      <c r="A50" s="33"/>
      <c r="B50" s="3" t="s">
        <v>238</v>
      </c>
      <c r="C50" s="104" t="s">
        <v>27</v>
      </c>
      <c r="D50" s="34"/>
      <c r="E50" s="34" t="s">
        <v>27</v>
      </c>
      <c r="F50" s="14">
        <v>0</v>
      </c>
      <c r="G50" s="62"/>
      <c r="H50" s="143"/>
      <c r="I50" s="13">
        <f t="shared" si="0"/>
        <v>0</v>
      </c>
      <c r="J50" s="62"/>
      <c r="K50" s="143"/>
      <c r="L50" s="13">
        <f t="shared" si="1"/>
        <v>0</v>
      </c>
      <c r="M50" s="61"/>
      <c r="N50" s="143"/>
      <c r="O50" s="13">
        <f t="shared" si="2"/>
        <v>0</v>
      </c>
      <c r="P50" s="62"/>
      <c r="Q50" s="143"/>
      <c r="R50" s="30">
        <f t="shared" si="3"/>
        <v>0</v>
      </c>
      <c r="S50" s="61"/>
      <c r="T50" s="143"/>
      <c r="U50" s="13">
        <f t="shared" si="4"/>
        <v>0</v>
      </c>
      <c r="V50" s="62"/>
      <c r="W50" s="143"/>
      <c r="X50" s="13">
        <f t="shared" si="5"/>
        <v>0</v>
      </c>
      <c r="Y50" s="62"/>
      <c r="Z50" s="143"/>
      <c r="AA50" s="13">
        <f t="shared" si="27"/>
        <v>0</v>
      </c>
      <c r="AB50" s="62"/>
      <c r="AC50" s="143"/>
      <c r="AD50" s="13">
        <f t="shared" si="28"/>
        <v>0</v>
      </c>
      <c r="AE50" s="62"/>
      <c r="AF50" s="143"/>
      <c r="AG50" s="13">
        <f t="shared" si="29"/>
        <v>0</v>
      </c>
      <c r="AH50" s="62"/>
      <c r="AI50" s="143"/>
      <c r="AJ50" s="13">
        <f t="shared" si="30"/>
        <v>0</v>
      </c>
      <c r="AK50" s="62"/>
      <c r="AL50" s="143"/>
      <c r="AM50" s="13">
        <f t="shared" si="6"/>
        <v>0</v>
      </c>
      <c r="AN50" s="62"/>
      <c r="AO50" s="143"/>
      <c r="AP50" s="13">
        <f t="shared" si="7"/>
        <v>0</v>
      </c>
      <c r="AQ50" s="62"/>
      <c r="AR50" s="143"/>
      <c r="AS50" s="13">
        <f t="shared" si="8"/>
        <v>0</v>
      </c>
      <c r="AT50" s="62"/>
      <c r="AU50" s="143"/>
      <c r="AV50" s="13">
        <f t="shared" si="9"/>
        <v>0</v>
      </c>
      <c r="AW50" s="62"/>
      <c r="AX50" s="143"/>
      <c r="AY50" s="13">
        <f t="shared" si="10"/>
        <v>0</v>
      </c>
      <c r="AZ50" s="62"/>
      <c r="BA50" s="143"/>
      <c r="BB50" s="13">
        <f t="shared" si="11"/>
        <v>0</v>
      </c>
      <c r="BC50" s="62"/>
      <c r="BD50" s="143"/>
      <c r="BE50" s="13">
        <f t="shared" si="12"/>
        <v>0</v>
      </c>
      <c r="BF50" s="62"/>
      <c r="BG50" s="143"/>
      <c r="BH50" s="13">
        <f t="shared" si="13"/>
        <v>0</v>
      </c>
      <c r="BI50" s="184"/>
      <c r="BJ50" s="143"/>
      <c r="BK50" s="13">
        <f t="shared" si="14"/>
        <v>0</v>
      </c>
      <c r="BL50" s="62"/>
      <c r="BM50" s="143"/>
      <c r="BN50" s="13">
        <f t="shared" si="15"/>
        <v>0</v>
      </c>
      <c r="BO50" s="62"/>
      <c r="BP50" s="143"/>
      <c r="BQ50" s="13">
        <f t="shared" si="16"/>
        <v>0</v>
      </c>
      <c r="BR50" s="62"/>
      <c r="BS50" s="143"/>
      <c r="BT50" s="13">
        <f t="shared" si="17"/>
        <v>0</v>
      </c>
      <c r="BU50" s="62"/>
      <c r="BV50" s="143"/>
      <c r="BW50" s="13">
        <f t="shared" si="18"/>
        <v>0</v>
      </c>
      <c r="BX50" s="62"/>
      <c r="BY50" s="143"/>
      <c r="BZ50" s="13">
        <f t="shared" si="19"/>
        <v>0</v>
      </c>
      <c r="CA50" s="62"/>
      <c r="CB50" s="143"/>
      <c r="CC50" s="13">
        <f t="shared" si="20"/>
        <v>0</v>
      </c>
      <c r="CD50" s="62"/>
      <c r="CE50" s="143"/>
      <c r="CF50" s="13">
        <f t="shared" si="21"/>
        <v>0</v>
      </c>
      <c r="CG50" s="62"/>
      <c r="CH50" s="143"/>
      <c r="CI50" s="13">
        <f t="shared" si="31"/>
        <v>0</v>
      </c>
      <c r="CJ50" s="62"/>
      <c r="CK50" s="143"/>
      <c r="CL50" s="13">
        <f t="shared" si="32"/>
        <v>0</v>
      </c>
      <c r="CM50" s="62"/>
      <c r="CN50" s="143"/>
      <c r="CO50" s="13">
        <f t="shared" si="22"/>
        <v>0</v>
      </c>
      <c r="CP50" s="62"/>
      <c r="CQ50" s="143"/>
      <c r="CR50" s="13">
        <f t="shared" si="33"/>
        <v>0</v>
      </c>
      <c r="CS50" s="61"/>
      <c r="CT50" s="143"/>
      <c r="CU50" s="14">
        <f t="shared" si="23"/>
        <v>0</v>
      </c>
      <c r="CV50" s="5">
        <f t="shared" si="36"/>
        <v>0</v>
      </c>
      <c r="CW50" s="4">
        <f t="shared" si="36"/>
        <v>0</v>
      </c>
      <c r="CX50" s="6">
        <f t="shared" si="25"/>
        <v>0</v>
      </c>
      <c r="CY50" s="162">
        <v>0</v>
      </c>
      <c r="CZ50" s="171">
        <f t="shared" si="26"/>
        <v>0</v>
      </c>
      <c r="DB50" s="2">
        <f t="shared" si="34"/>
        <v>0</v>
      </c>
      <c r="DC50" s="61"/>
      <c r="DD50" s="143"/>
      <c r="DE50" s="149">
        <f t="shared" si="35"/>
        <v>0</v>
      </c>
    </row>
    <row r="51" spans="1:109" ht="15.75" customHeight="1">
      <c r="A51" s="33"/>
      <c r="B51" s="7" t="s">
        <v>101</v>
      </c>
      <c r="C51" s="105" t="s">
        <v>27</v>
      </c>
      <c r="D51" s="35">
        <v>6</v>
      </c>
      <c r="E51" s="35" t="s">
        <v>27</v>
      </c>
      <c r="F51" s="14">
        <v>0</v>
      </c>
      <c r="G51" s="62"/>
      <c r="H51" s="143"/>
      <c r="I51" s="13">
        <f t="shared" si="0"/>
        <v>0</v>
      </c>
      <c r="J51" s="62"/>
      <c r="K51" s="143"/>
      <c r="L51" s="13">
        <f t="shared" si="1"/>
        <v>0</v>
      </c>
      <c r="M51" s="61"/>
      <c r="N51" s="143"/>
      <c r="O51" s="13">
        <f t="shared" si="2"/>
        <v>0</v>
      </c>
      <c r="P51" s="62"/>
      <c r="Q51" s="143"/>
      <c r="R51" s="30">
        <f t="shared" si="3"/>
        <v>0</v>
      </c>
      <c r="S51" s="61"/>
      <c r="T51" s="143"/>
      <c r="U51" s="13">
        <f t="shared" si="4"/>
        <v>0</v>
      </c>
      <c r="V51" s="62"/>
      <c r="W51" s="143"/>
      <c r="X51" s="13">
        <f t="shared" si="5"/>
        <v>0</v>
      </c>
      <c r="Y51" s="62"/>
      <c r="Z51" s="143"/>
      <c r="AA51" s="13">
        <f t="shared" si="27"/>
        <v>0</v>
      </c>
      <c r="AB51" s="62"/>
      <c r="AC51" s="143"/>
      <c r="AD51" s="13">
        <f t="shared" si="28"/>
        <v>0</v>
      </c>
      <c r="AE51" s="62"/>
      <c r="AF51" s="143"/>
      <c r="AG51" s="13">
        <f t="shared" si="29"/>
        <v>0</v>
      </c>
      <c r="AH51" s="62"/>
      <c r="AI51" s="143"/>
      <c r="AJ51" s="13">
        <f t="shared" si="30"/>
        <v>0</v>
      </c>
      <c r="AK51" s="62"/>
      <c r="AL51" s="143"/>
      <c r="AM51" s="13">
        <f t="shared" si="6"/>
        <v>0</v>
      </c>
      <c r="AN51" s="62"/>
      <c r="AO51" s="143"/>
      <c r="AP51" s="13">
        <f t="shared" si="7"/>
        <v>0</v>
      </c>
      <c r="AQ51" s="62"/>
      <c r="AR51" s="143"/>
      <c r="AS51" s="13">
        <f t="shared" si="8"/>
        <v>0</v>
      </c>
      <c r="AT51" s="62"/>
      <c r="AU51" s="143"/>
      <c r="AV51" s="13">
        <f t="shared" si="9"/>
        <v>0</v>
      </c>
      <c r="AW51" s="62"/>
      <c r="AX51" s="143"/>
      <c r="AY51" s="13">
        <f t="shared" si="10"/>
        <v>0</v>
      </c>
      <c r="AZ51" s="62"/>
      <c r="BA51" s="143"/>
      <c r="BB51" s="13">
        <f t="shared" si="11"/>
        <v>0</v>
      </c>
      <c r="BC51" s="62"/>
      <c r="BD51" s="143"/>
      <c r="BE51" s="13">
        <f t="shared" si="12"/>
        <v>0</v>
      </c>
      <c r="BF51" s="62"/>
      <c r="BG51" s="143"/>
      <c r="BH51" s="13">
        <f t="shared" si="13"/>
        <v>0</v>
      </c>
      <c r="BI51" s="184"/>
      <c r="BJ51" s="143"/>
      <c r="BK51" s="13">
        <f t="shared" si="14"/>
        <v>0</v>
      </c>
      <c r="BL51" s="62"/>
      <c r="BM51" s="143"/>
      <c r="BN51" s="13">
        <f t="shared" si="15"/>
        <v>0</v>
      </c>
      <c r="BO51" s="62"/>
      <c r="BP51" s="143"/>
      <c r="BQ51" s="13">
        <f t="shared" si="16"/>
        <v>0</v>
      </c>
      <c r="BR51" s="62"/>
      <c r="BS51" s="143"/>
      <c r="BT51" s="13">
        <f t="shared" si="17"/>
        <v>0</v>
      </c>
      <c r="BU51" s="62"/>
      <c r="BV51" s="143"/>
      <c r="BW51" s="13">
        <f t="shared" si="18"/>
        <v>0</v>
      </c>
      <c r="BX51" s="62"/>
      <c r="BY51" s="143"/>
      <c r="BZ51" s="13">
        <f t="shared" si="19"/>
        <v>0</v>
      </c>
      <c r="CA51" s="62"/>
      <c r="CB51" s="143"/>
      <c r="CC51" s="13">
        <f t="shared" si="20"/>
        <v>0</v>
      </c>
      <c r="CD51" s="62"/>
      <c r="CE51" s="143"/>
      <c r="CF51" s="13">
        <f t="shared" si="21"/>
        <v>0</v>
      </c>
      <c r="CG51" s="62"/>
      <c r="CH51" s="143"/>
      <c r="CI51" s="13">
        <f t="shared" si="31"/>
        <v>0</v>
      </c>
      <c r="CJ51" s="62"/>
      <c r="CK51" s="143"/>
      <c r="CL51" s="13">
        <f t="shared" si="32"/>
        <v>0</v>
      </c>
      <c r="CM51" s="62"/>
      <c r="CN51" s="143"/>
      <c r="CO51" s="13">
        <f t="shared" si="22"/>
        <v>0</v>
      </c>
      <c r="CP51" s="62"/>
      <c r="CQ51" s="143"/>
      <c r="CR51" s="13">
        <f t="shared" si="33"/>
        <v>0</v>
      </c>
      <c r="CS51" s="61"/>
      <c r="CT51" s="143"/>
      <c r="CU51" s="14">
        <f t="shared" si="23"/>
        <v>0</v>
      </c>
      <c r="CV51" s="5">
        <f t="shared" si="36"/>
        <v>0</v>
      </c>
      <c r="CW51" s="4">
        <f t="shared" si="36"/>
        <v>0</v>
      </c>
      <c r="CX51" s="6">
        <f t="shared" si="25"/>
        <v>0</v>
      </c>
      <c r="CY51" s="162">
        <v>0</v>
      </c>
      <c r="CZ51" s="171">
        <f t="shared" si="26"/>
        <v>0</v>
      </c>
      <c r="DB51" s="2">
        <f t="shared" si="34"/>
        <v>0</v>
      </c>
      <c r="DC51" s="61"/>
      <c r="DD51" s="143"/>
      <c r="DE51" s="149">
        <f t="shared" si="35"/>
        <v>0</v>
      </c>
    </row>
    <row r="52" spans="1:109" ht="15.75" customHeight="1">
      <c r="A52" s="33"/>
      <c r="B52" s="177" t="s">
        <v>255</v>
      </c>
      <c r="C52" s="110" t="s">
        <v>27</v>
      </c>
      <c r="D52" s="37"/>
      <c r="E52" s="37" t="s">
        <v>27</v>
      </c>
      <c r="F52" s="14">
        <v>0</v>
      </c>
      <c r="G52" s="62"/>
      <c r="H52" s="143"/>
      <c r="I52" s="13">
        <f t="shared" si="0"/>
        <v>0</v>
      </c>
      <c r="J52" s="62"/>
      <c r="K52" s="143"/>
      <c r="L52" s="13">
        <f t="shared" si="1"/>
        <v>0</v>
      </c>
      <c r="M52" s="61"/>
      <c r="N52" s="143"/>
      <c r="O52" s="13">
        <f t="shared" si="2"/>
        <v>0</v>
      </c>
      <c r="P52" s="62"/>
      <c r="Q52" s="143"/>
      <c r="R52" s="30">
        <f t="shared" si="3"/>
        <v>0</v>
      </c>
      <c r="S52" s="61"/>
      <c r="T52" s="143"/>
      <c r="U52" s="13">
        <f t="shared" si="4"/>
        <v>0</v>
      </c>
      <c r="V52" s="62"/>
      <c r="W52" s="143"/>
      <c r="X52" s="13">
        <f t="shared" si="5"/>
        <v>0</v>
      </c>
      <c r="Y52" s="62"/>
      <c r="Z52" s="143"/>
      <c r="AA52" s="13">
        <f t="shared" si="27"/>
        <v>0</v>
      </c>
      <c r="AB52" s="62"/>
      <c r="AC52" s="143"/>
      <c r="AD52" s="13">
        <f t="shared" si="28"/>
        <v>0</v>
      </c>
      <c r="AE52" s="62"/>
      <c r="AF52" s="143"/>
      <c r="AG52" s="13">
        <f t="shared" si="29"/>
        <v>0</v>
      </c>
      <c r="AH52" s="62"/>
      <c r="AI52" s="143"/>
      <c r="AJ52" s="13">
        <f t="shared" si="30"/>
        <v>0</v>
      </c>
      <c r="AK52" s="62"/>
      <c r="AL52" s="143"/>
      <c r="AM52" s="13">
        <f t="shared" si="6"/>
        <v>0</v>
      </c>
      <c r="AN52" s="62"/>
      <c r="AO52" s="143"/>
      <c r="AP52" s="13">
        <f t="shared" si="7"/>
        <v>0</v>
      </c>
      <c r="AQ52" s="62"/>
      <c r="AR52" s="143"/>
      <c r="AS52" s="13">
        <f t="shared" si="8"/>
        <v>0</v>
      </c>
      <c r="AT52" s="62"/>
      <c r="AU52" s="143"/>
      <c r="AV52" s="13">
        <f t="shared" si="9"/>
        <v>0</v>
      </c>
      <c r="AW52" s="62"/>
      <c r="AX52" s="143"/>
      <c r="AY52" s="13">
        <f t="shared" si="10"/>
        <v>0</v>
      </c>
      <c r="AZ52" s="62"/>
      <c r="BA52" s="143"/>
      <c r="BB52" s="13">
        <f t="shared" si="11"/>
        <v>0</v>
      </c>
      <c r="BC52" s="62"/>
      <c r="BD52" s="143"/>
      <c r="BE52" s="13">
        <f t="shared" si="12"/>
        <v>0</v>
      </c>
      <c r="BF52" s="62"/>
      <c r="BG52" s="143"/>
      <c r="BH52" s="13">
        <f t="shared" si="13"/>
        <v>0</v>
      </c>
      <c r="BI52" s="184"/>
      <c r="BJ52" s="143"/>
      <c r="BK52" s="13">
        <f t="shared" si="14"/>
        <v>0</v>
      </c>
      <c r="BL52" s="62"/>
      <c r="BM52" s="143"/>
      <c r="BN52" s="13">
        <f t="shared" si="15"/>
        <v>0</v>
      </c>
      <c r="BO52" s="62"/>
      <c r="BP52" s="143"/>
      <c r="BQ52" s="13">
        <f t="shared" si="16"/>
        <v>0</v>
      </c>
      <c r="BR52" s="62"/>
      <c r="BS52" s="143"/>
      <c r="BT52" s="13">
        <f t="shared" si="17"/>
        <v>0</v>
      </c>
      <c r="BU52" s="62"/>
      <c r="BV52" s="143"/>
      <c r="BW52" s="13">
        <f t="shared" si="18"/>
        <v>0</v>
      </c>
      <c r="BX52" s="62"/>
      <c r="BY52" s="143"/>
      <c r="BZ52" s="13">
        <f t="shared" si="19"/>
        <v>0</v>
      </c>
      <c r="CA52" s="62"/>
      <c r="CB52" s="143"/>
      <c r="CC52" s="13">
        <f t="shared" si="20"/>
        <v>0</v>
      </c>
      <c r="CD52" s="62"/>
      <c r="CE52" s="143"/>
      <c r="CF52" s="13">
        <f t="shared" si="21"/>
        <v>0</v>
      </c>
      <c r="CG52" s="62"/>
      <c r="CH52" s="143"/>
      <c r="CI52" s="13">
        <f t="shared" si="31"/>
        <v>0</v>
      </c>
      <c r="CJ52" s="62"/>
      <c r="CK52" s="143"/>
      <c r="CL52" s="13">
        <f t="shared" si="32"/>
        <v>0</v>
      </c>
      <c r="CM52" s="62"/>
      <c r="CN52" s="143"/>
      <c r="CO52" s="13">
        <f t="shared" si="22"/>
        <v>0</v>
      </c>
      <c r="CP52" s="62"/>
      <c r="CQ52" s="143"/>
      <c r="CR52" s="13">
        <f t="shared" si="33"/>
        <v>0</v>
      </c>
      <c r="CS52" s="61"/>
      <c r="CT52" s="143"/>
      <c r="CU52" s="14">
        <f t="shared" si="23"/>
        <v>0</v>
      </c>
      <c r="CV52" s="5">
        <f t="shared" si="36"/>
        <v>0</v>
      </c>
      <c r="CW52" s="4">
        <f t="shared" si="36"/>
        <v>0</v>
      </c>
      <c r="CX52" s="6">
        <f t="shared" si="25"/>
        <v>0</v>
      </c>
      <c r="CY52" s="162">
        <v>0</v>
      </c>
      <c r="CZ52" s="171">
        <f t="shared" si="26"/>
        <v>0</v>
      </c>
      <c r="DB52" s="2">
        <f t="shared" si="34"/>
        <v>0</v>
      </c>
      <c r="DC52" s="61"/>
      <c r="DD52" s="143"/>
      <c r="DE52" s="149">
        <f t="shared" si="35"/>
        <v>0</v>
      </c>
    </row>
    <row r="53" spans="1:109" ht="18" customHeight="1">
      <c r="A53" s="33"/>
      <c r="B53" s="7" t="s">
        <v>102</v>
      </c>
      <c r="C53" s="105" t="s">
        <v>30</v>
      </c>
      <c r="D53" s="35" t="s">
        <v>235</v>
      </c>
      <c r="E53" s="35" t="s">
        <v>27</v>
      </c>
      <c r="F53" s="14">
        <v>16</v>
      </c>
      <c r="G53" s="62"/>
      <c r="H53" s="143"/>
      <c r="I53" s="13">
        <f t="shared" si="0"/>
        <v>16</v>
      </c>
      <c r="J53" s="62"/>
      <c r="K53" s="143"/>
      <c r="L53" s="13">
        <f t="shared" si="1"/>
        <v>16</v>
      </c>
      <c r="M53" s="61">
        <v>20</v>
      </c>
      <c r="N53" s="143">
        <v>13</v>
      </c>
      <c r="O53" s="13">
        <f t="shared" si="2"/>
        <v>23</v>
      </c>
      <c r="P53" s="62"/>
      <c r="Q53" s="143">
        <f>3+12</f>
        <v>15</v>
      </c>
      <c r="R53" s="13">
        <f t="shared" si="3"/>
        <v>8</v>
      </c>
      <c r="S53" s="61">
        <f>1+15</f>
        <v>16</v>
      </c>
      <c r="T53" s="143"/>
      <c r="U53" s="13">
        <f t="shared" si="4"/>
        <v>24</v>
      </c>
      <c r="V53" s="62">
        <v>8</v>
      </c>
      <c r="W53" s="143">
        <v>11</v>
      </c>
      <c r="X53" s="13">
        <f t="shared" si="5"/>
        <v>21</v>
      </c>
      <c r="Y53" s="62"/>
      <c r="Z53" s="143">
        <v>6</v>
      </c>
      <c r="AA53" s="13">
        <f t="shared" si="27"/>
        <v>15</v>
      </c>
      <c r="AB53" s="62"/>
      <c r="AC53" s="143"/>
      <c r="AD53" s="13">
        <f t="shared" si="28"/>
        <v>15</v>
      </c>
      <c r="AE53" s="62">
        <v>7</v>
      </c>
      <c r="AF53" s="143">
        <v>2</v>
      </c>
      <c r="AG53" s="13">
        <f t="shared" si="29"/>
        <v>20</v>
      </c>
      <c r="AH53" s="62">
        <v>3</v>
      </c>
      <c r="AI53" s="143">
        <v>3</v>
      </c>
      <c r="AJ53" s="13">
        <f t="shared" si="30"/>
        <v>20</v>
      </c>
      <c r="AK53" s="62">
        <v>19</v>
      </c>
      <c r="AL53" s="143">
        <v>9</v>
      </c>
      <c r="AM53" s="13">
        <f t="shared" si="6"/>
        <v>30</v>
      </c>
      <c r="AN53" s="62"/>
      <c r="AO53" s="143"/>
      <c r="AP53" s="13">
        <f t="shared" si="7"/>
        <v>30</v>
      </c>
      <c r="AQ53" s="62"/>
      <c r="AR53" s="143">
        <v>8</v>
      </c>
      <c r="AS53" s="13">
        <f t="shared" si="8"/>
        <v>22</v>
      </c>
      <c r="AT53" s="62">
        <v>8</v>
      </c>
      <c r="AU53" s="143">
        <v>15</v>
      </c>
      <c r="AV53" s="13">
        <f t="shared" si="9"/>
        <v>15</v>
      </c>
      <c r="AW53" s="62"/>
      <c r="AX53" s="143"/>
      <c r="AY53" s="13">
        <f t="shared" si="10"/>
        <v>15</v>
      </c>
      <c r="AZ53" s="62">
        <v>8</v>
      </c>
      <c r="BA53" s="143">
        <f>8</f>
        <v>8</v>
      </c>
      <c r="BB53" s="13">
        <f t="shared" si="11"/>
        <v>15</v>
      </c>
      <c r="BC53" s="62">
        <v>9</v>
      </c>
      <c r="BD53" s="143">
        <v>4</v>
      </c>
      <c r="BE53" s="13">
        <f t="shared" si="12"/>
        <v>20</v>
      </c>
      <c r="BF53" s="62">
        <v>8</v>
      </c>
      <c r="BG53" s="143">
        <v>13</v>
      </c>
      <c r="BH53" s="13">
        <f t="shared" si="13"/>
        <v>15</v>
      </c>
      <c r="BI53" s="184"/>
      <c r="BJ53" s="143"/>
      <c r="BK53" s="13">
        <f t="shared" si="14"/>
        <v>15</v>
      </c>
      <c r="BL53" s="62">
        <v>13</v>
      </c>
      <c r="BM53" s="143">
        <v>8</v>
      </c>
      <c r="BN53" s="13">
        <f t="shared" si="15"/>
        <v>20</v>
      </c>
      <c r="BO53" s="62">
        <v>9</v>
      </c>
      <c r="BP53" s="143">
        <f>14</f>
        <v>14</v>
      </c>
      <c r="BQ53" s="13">
        <f t="shared" si="16"/>
        <v>15</v>
      </c>
      <c r="BR53" s="62"/>
      <c r="BS53" s="143"/>
      <c r="BT53" s="13">
        <f t="shared" si="17"/>
        <v>15</v>
      </c>
      <c r="BU53" s="62">
        <v>6</v>
      </c>
      <c r="BV53" s="143">
        <f>6</f>
        <v>6</v>
      </c>
      <c r="BW53" s="13">
        <f t="shared" si="18"/>
        <v>15</v>
      </c>
      <c r="BX53" s="62">
        <v>9</v>
      </c>
      <c r="BY53" s="143">
        <v>4</v>
      </c>
      <c r="BZ53" s="13">
        <f t="shared" si="19"/>
        <v>20</v>
      </c>
      <c r="CA53" s="62">
        <v>10</v>
      </c>
      <c r="CB53" s="143">
        <f>15</f>
        <v>15</v>
      </c>
      <c r="CC53" s="13">
        <f t="shared" si="20"/>
        <v>15</v>
      </c>
      <c r="CD53" s="62"/>
      <c r="CE53" s="143"/>
      <c r="CF53" s="13">
        <f t="shared" si="21"/>
        <v>15</v>
      </c>
      <c r="CG53" s="62">
        <v>15</v>
      </c>
      <c r="CH53" s="143">
        <v>10</v>
      </c>
      <c r="CI53" s="13">
        <f>CF53+CG53-CH53</f>
        <v>20</v>
      </c>
      <c r="CJ53" s="62">
        <v>8</v>
      </c>
      <c r="CK53" s="143">
        <v>13</v>
      </c>
      <c r="CL53" s="13">
        <f>CI53+CJ53-CK53</f>
        <v>15</v>
      </c>
      <c r="CM53" s="62"/>
      <c r="CN53" s="143"/>
      <c r="CO53" s="13">
        <f t="shared" si="22"/>
        <v>15</v>
      </c>
      <c r="CP53" s="62">
        <v>7</v>
      </c>
      <c r="CQ53" s="143">
        <v>7</v>
      </c>
      <c r="CR53" s="13">
        <f t="shared" si="33"/>
        <v>15</v>
      </c>
      <c r="CS53" s="61"/>
      <c r="CT53" s="143">
        <v>4</v>
      </c>
      <c r="CU53" s="14">
        <f t="shared" si="23"/>
        <v>11</v>
      </c>
      <c r="CV53" s="5">
        <f t="shared" si="36"/>
        <v>183</v>
      </c>
      <c r="CW53" s="4">
        <f t="shared" si="36"/>
        <v>188</v>
      </c>
      <c r="CX53" s="6">
        <f t="shared" si="25"/>
        <v>11</v>
      </c>
      <c r="CY53" s="162">
        <v>100</v>
      </c>
      <c r="CZ53" s="171">
        <f t="shared" si="26"/>
        <v>1100</v>
      </c>
      <c r="DB53" s="2">
        <f t="shared" si="34"/>
        <v>11</v>
      </c>
      <c r="DC53" s="61"/>
      <c r="DD53" s="143"/>
      <c r="DE53" s="149">
        <f t="shared" si="35"/>
        <v>11</v>
      </c>
    </row>
    <row r="54" spans="1:109" ht="15.75" customHeight="1">
      <c r="A54" s="33"/>
      <c r="B54" s="137" t="s">
        <v>103</v>
      </c>
      <c r="C54" s="110" t="s">
        <v>27</v>
      </c>
      <c r="D54" s="37"/>
      <c r="E54" s="37" t="s">
        <v>27</v>
      </c>
      <c r="F54" s="14">
        <v>0</v>
      </c>
      <c r="G54" s="62"/>
      <c r="H54" s="143"/>
      <c r="I54" s="13">
        <f t="shared" si="0"/>
        <v>0</v>
      </c>
      <c r="J54" s="62"/>
      <c r="K54" s="143"/>
      <c r="L54" s="13">
        <f t="shared" si="1"/>
        <v>0</v>
      </c>
      <c r="M54" s="61"/>
      <c r="N54" s="143"/>
      <c r="O54" s="13">
        <f t="shared" si="2"/>
        <v>0</v>
      </c>
      <c r="P54" s="62"/>
      <c r="Q54" s="143"/>
      <c r="R54" s="30">
        <f t="shared" si="3"/>
        <v>0</v>
      </c>
      <c r="S54" s="61"/>
      <c r="T54" s="143"/>
      <c r="U54" s="13">
        <f t="shared" si="4"/>
        <v>0</v>
      </c>
      <c r="V54" s="62"/>
      <c r="W54" s="143"/>
      <c r="X54" s="13">
        <f t="shared" si="5"/>
        <v>0</v>
      </c>
      <c r="Y54" s="62"/>
      <c r="Z54" s="143"/>
      <c r="AA54" s="13">
        <f t="shared" si="27"/>
        <v>0</v>
      </c>
      <c r="AB54" s="62"/>
      <c r="AC54" s="143"/>
      <c r="AD54" s="13">
        <f t="shared" si="28"/>
        <v>0</v>
      </c>
      <c r="AE54" s="62"/>
      <c r="AF54" s="143"/>
      <c r="AG54" s="13">
        <f t="shared" si="29"/>
        <v>0</v>
      </c>
      <c r="AH54" s="62"/>
      <c r="AI54" s="143"/>
      <c r="AJ54" s="13">
        <f t="shared" si="30"/>
        <v>0</v>
      </c>
      <c r="AK54" s="62"/>
      <c r="AL54" s="143"/>
      <c r="AM54" s="13">
        <f t="shared" si="6"/>
        <v>0</v>
      </c>
      <c r="AN54" s="62"/>
      <c r="AO54" s="143"/>
      <c r="AP54" s="13">
        <f t="shared" si="7"/>
        <v>0</v>
      </c>
      <c r="AQ54" s="62"/>
      <c r="AR54" s="143"/>
      <c r="AS54" s="13">
        <f t="shared" si="8"/>
        <v>0</v>
      </c>
      <c r="AT54" s="62"/>
      <c r="AU54" s="143"/>
      <c r="AV54" s="13">
        <f t="shared" si="9"/>
        <v>0</v>
      </c>
      <c r="AW54" s="62"/>
      <c r="AX54" s="143"/>
      <c r="AY54" s="13">
        <f t="shared" si="10"/>
        <v>0</v>
      </c>
      <c r="AZ54" s="62"/>
      <c r="BA54" s="143"/>
      <c r="BB54" s="13">
        <f t="shared" si="11"/>
        <v>0</v>
      </c>
      <c r="BC54" s="62"/>
      <c r="BD54" s="143"/>
      <c r="BE54" s="13">
        <f t="shared" si="12"/>
        <v>0</v>
      </c>
      <c r="BF54" s="62"/>
      <c r="BG54" s="143"/>
      <c r="BH54" s="13">
        <f t="shared" si="13"/>
        <v>0</v>
      </c>
      <c r="BI54" s="184"/>
      <c r="BJ54" s="143"/>
      <c r="BK54" s="13">
        <f t="shared" si="14"/>
        <v>0</v>
      </c>
      <c r="BL54" s="62"/>
      <c r="BM54" s="143"/>
      <c r="BN54" s="13">
        <f t="shared" si="15"/>
        <v>0</v>
      </c>
      <c r="BO54" s="62"/>
      <c r="BP54" s="143"/>
      <c r="BQ54" s="13">
        <f t="shared" si="16"/>
        <v>0</v>
      </c>
      <c r="BR54" s="62"/>
      <c r="BS54" s="143"/>
      <c r="BT54" s="13">
        <f t="shared" si="17"/>
        <v>0</v>
      </c>
      <c r="BU54" s="62"/>
      <c r="BV54" s="143"/>
      <c r="BW54" s="13">
        <f t="shared" si="18"/>
        <v>0</v>
      </c>
      <c r="BX54" s="62"/>
      <c r="BY54" s="143"/>
      <c r="BZ54" s="13">
        <f t="shared" si="19"/>
        <v>0</v>
      </c>
      <c r="CA54" s="62"/>
      <c r="CB54" s="143"/>
      <c r="CC54" s="13">
        <f t="shared" si="20"/>
        <v>0</v>
      </c>
      <c r="CD54" s="62"/>
      <c r="CE54" s="143"/>
      <c r="CF54" s="13">
        <f t="shared" si="21"/>
        <v>0</v>
      </c>
      <c r="CG54" s="62"/>
      <c r="CH54" s="143"/>
      <c r="CI54" s="13">
        <f t="shared" si="31"/>
        <v>0</v>
      </c>
      <c r="CJ54" s="62"/>
      <c r="CK54" s="143"/>
      <c r="CL54" s="13">
        <f t="shared" si="32"/>
        <v>0</v>
      </c>
      <c r="CM54" s="62"/>
      <c r="CN54" s="143"/>
      <c r="CO54" s="13">
        <f t="shared" si="22"/>
        <v>0</v>
      </c>
      <c r="CP54" s="62"/>
      <c r="CQ54" s="143"/>
      <c r="CR54" s="13">
        <f t="shared" si="33"/>
        <v>0</v>
      </c>
      <c r="CS54" s="61"/>
      <c r="CT54" s="143"/>
      <c r="CU54" s="14">
        <f t="shared" si="23"/>
        <v>0</v>
      </c>
      <c r="CV54" s="5">
        <f t="shared" si="36"/>
        <v>0</v>
      </c>
      <c r="CW54" s="4">
        <f t="shared" si="36"/>
        <v>0</v>
      </c>
      <c r="CX54" s="6">
        <f t="shared" si="25"/>
        <v>0</v>
      </c>
      <c r="CY54" s="162">
        <v>0</v>
      </c>
      <c r="CZ54" s="171">
        <f t="shared" si="26"/>
        <v>0</v>
      </c>
      <c r="DB54" s="2">
        <f t="shared" si="34"/>
        <v>0</v>
      </c>
      <c r="DC54" s="61"/>
      <c r="DD54" s="143"/>
      <c r="DE54" s="149">
        <f t="shared" si="35"/>
        <v>0</v>
      </c>
    </row>
    <row r="55" spans="1:109" ht="15.75" customHeight="1">
      <c r="A55" s="33" t="s">
        <v>54</v>
      </c>
      <c r="B55" s="3" t="s">
        <v>104</v>
      </c>
      <c r="C55" s="104" t="s">
        <v>105</v>
      </c>
      <c r="D55" s="34"/>
      <c r="E55" s="34" t="s">
        <v>33</v>
      </c>
      <c r="F55" s="14">
        <v>12</v>
      </c>
      <c r="G55" s="62"/>
      <c r="H55" s="143"/>
      <c r="I55" s="13">
        <f t="shared" si="0"/>
        <v>12</v>
      </c>
      <c r="J55" s="62"/>
      <c r="K55" s="143"/>
      <c r="L55" s="13">
        <f t="shared" si="1"/>
        <v>12</v>
      </c>
      <c r="M55" s="61"/>
      <c r="N55" s="143"/>
      <c r="O55" s="13">
        <f t="shared" si="2"/>
        <v>12</v>
      </c>
      <c r="P55" s="62"/>
      <c r="Q55" s="143">
        <v>8</v>
      </c>
      <c r="R55" s="13">
        <f t="shared" si="3"/>
        <v>4</v>
      </c>
      <c r="S55" s="61"/>
      <c r="T55" s="143"/>
      <c r="U55" s="13">
        <f t="shared" si="4"/>
        <v>4</v>
      </c>
      <c r="V55" s="62"/>
      <c r="W55" s="143"/>
      <c r="X55" s="13">
        <f t="shared" si="5"/>
        <v>4</v>
      </c>
      <c r="Y55" s="62">
        <v>10</v>
      </c>
      <c r="Z55" s="143"/>
      <c r="AA55" s="13">
        <f t="shared" si="27"/>
        <v>14</v>
      </c>
      <c r="AB55" s="62"/>
      <c r="AC55" s="143"/>
      <c r="AD55" s="13">
        <f t="shared" si="28"/>
        <v>14</v>
      </c>
      <c r="AE55" s="62"/>
      <c r="AF55" s="143"/>
      <c r="AG55" s="13">
        <f t="shared" si="29"/>
        <v>14</v>
      </c>
      <c r="AH55" s="62"/>
      <c r="AI55" s="143"/>
      <c r="AJ55" s="13">
        <f t="shared" si="30"/>
        <v>14</v>
      </c>
      <c r="AK55" s="62"/>
      <c r="AL55" s="143"/>
      <c r="AM55" s="13">
        <f t="shared" si="6"/>
        <v>14</v>
      </c>
      <c r="AN55" s="62"/>
      <c r="AO55" s="143"/>
      <c r="AP55" s="13">
        <f t="shared" si="7"/>
        <v>14</v>
      </c>
      <c r="AQ55" s="62"/>
      <c r="AR55" s="143"/>
      <c r="AS55" s="13">
        <f t="shared" si="8"/>
        <v>14</v>
      </c>
      <c r="AT55" s="62"/>
      <c r="AU55" s="143">
        <v>8</v>
      </c>
      <c r="AV55" s="13">
        <f t="shared" si="9"/>
        <v>6</v>
      </c>
      <c r="AW55" s="62"/>
      <c r="AX55" s="143"/>
      <c r="AY55" s="13">
        <f t="shared" si="10"/>
        <v>6</v>
      </c>
      <c r="AZ55" s="62">
        <v>10</v>
      </c>
      <c r="BA55" s="143"/>
      <c r="BB55" s="13">
        <f t="shared" si="11"/>
        <v>16</v>
      </c>
      <c r="BC55" s="62"/>
      <c r="BD55" s="143"/>
      <c r="BE55" s="13">
        <f t="shared" si="12"/>
        <v>16</v>
      </c>
      <c r="BF55" s="62"/>
      <c r="BG55" s="143"/>
      <c r="BH55" s="13">
        <f t="shared" si="13"/>
        <v>16</v>
      </c>
      <c r="BI55" s="184"/>
      <c r="BJ55" s="143"/>
      <c r="BK55" s="13">
        <f t="shared" si="14"/>
        <v>16</v>
      </c>
      <c r="BL55" s="62"/>
      <c r="BM55" s="143"/>
      <c r="BN55" s="13">
        <f t="shared" si="15"/>
        <v>16</v>
      </c>
      <c r="BO55" s="62"/>
      <c r="BP55" s="143">
        <v>6</v>
      </c>
      <c r="BQ55" s="13">
        <f t="shared" si="16"/>
        <v>10</v>
      </c>
      <c r="BR55" s="62"/>
      <c r="BS55" s="143"/>
      <c r="BT55" s="13">
        <f t="shared" si="17"/>
        <v>10</v>
      </c>
      <c r="BU55" s="62"/>
      <c r="BV55" s="143"/>
      <c r="BW55" s="13">
        <f t="shared" si="18"/>
        <v>10</v>
      </c>
      <c r="BX55" s="62"/>
      <c r="BY55" s="143"/>
      <c r="BZ55" s="13">
        <f t="shared" si="19"/>
        <v>10</v>
      </c>
      <c r="CA55" s="62"/>
      <c r="CB55" s="143"/>
      <c r="CC55" s="13">
        <f t="shared" si="20"/>
        <v>10</v>
      </c>
      <c r="CD55" s="62"/>
      <c r="CE55" s="143"/>
      <c r="CF55" s="13">
        <f t="shared" si="21"/>
        <v>10</v>
      </c>
      <c r="CG55" s="62"/>
      <c r="CH55" s="143"/>
      <c r="CI55" s="13">
        <f t="shared" si="31"/>
        <v>10</v>
      </c>
      <c r="CJ55" s="62"/>
      <c r="CK55" s="143">
        <v>8</v>
      </c>
      <c r="CL55" s="13">
        <f t="shared" si="32"/>
        <v>2</v>
      </c>
      <c r="CM55" s="62"/>
      <c r="CN55" s="143"/>
      <c r="CO55" s="13">
        <f t="shared" si="22"/>
        <v>2</v>
      </c>
      <c r="CP55" s="62"/>
      <c r="CQ55" s="143"/>
      <c r="CR55" s="13">
        <f t="shared" si="33"/>
        <v>2</v>
      </c>
      <c r="CS55" s="61"/>
      <c r="CT55" s="143"/>
      <c r="CU55" s="14">
        <f t="shared" si="23"/>
        <v>2</v>
      </c>
      <c r="CV55" s="5">
        <f t="shared" si="36"/>
        <v>20</v>
      </c>
      <c r="CW55" s="4">
        <f t="shared" si="36"/>
        <v>30</v>
      </c>
      <c r="CX55" s="6">
        <f t="shared" si="25"/>
        <v>2</v>
      </c>
      <c r="CY55" s="162">
        <v>125</v>
      </c>
      <c r="CZ55" s="171">
        <f t="shared" si="26"/>
        <v>250</v>
      </c>
      <c r="DB55" s="2">
        <f t="shared" si="34"/>
        <v>2</v>
      </c>
      <c r="DC55" s="61"/>
      <c r="DD55" s="143"/>
      <c r="DE55" s="149">
        <f t="shared" si="35"/>
        <v>2</v>
      </c>
    </row>
    <row r="56" spans="1:109" ht="15.75" customHeight="1">
      <c r="A56" s="33" t="s">
        <v>54</v>
      </c>
      <c r="B56" s="7" t="s">
        <v>106</v>
      </c>
      <c r="C56" s="105" t="s">
        <v>89</v>
      </c>
      <c r="D56" s="35"/>
      <c r="E56" s="35" t="s">
        <v>50</v>
      </c>
      <c r="F56" s="14">
        <v>1</v>
      </c>
      <c r="G56" s="62"/>
      <c r="H56" s="143"/>
      <c r="I56" s="13">
        <f t="shared" si="0"/>
        <v>1</v>
      </c>
      <c r="J56" s="62"/>
      <c r="K56" s="143"/>
      <c r="L56" s="13">
        <f t="shared" si="1"/>
        <v>1</v>
      </c>
      <c r="M56" s="61"/>
      <c r="N56" s="143">
        <v>1</v>
      </c>
      <c r="O56" s="13">
        <f t="shared" si="2"/>
        <v>0</v>
      </c>
      <c r="P56" s="62"/>
      <c r="Q56" s="143"/>
      <c r="R56" s="30">
        <f t="shared" si="3"/>
        <v>0</v>
      </c>
      <c r="S56" s="61">
        <v>1</v>
      </c>
      <c r="T56" s="143"/>
      <c r="U56" s="13">
        <f t="shared" si="4"/>
        <v>1</v>
      </c>
      <c r="V56" s="62"/>
      <c r="W56" s="143">
        <v>1</v>
      </c>
      <c r="X56" s="13">
        <f t="shared" si="5"/>
        <v>0</v>
      </c>
      <c r="Y56" s="62"/>
      <c r="Z56" s="143"/>
      <c r="AA56" s="13">
        <f t="shared" si="27"/>
        <v>0</v>
      </c>
      <c r="AB56" s="62"/>
      <c r="AC56" s="143"/>
      <c r="AD56" s="13">
        <f t="shared" si="28"/>
        <v>0</v>
      </c>
      <c r="AE56" s="62"/>
      <c r="AF56" s="143"/>
      <c r="AG56" s="13">
        <f t="shared" si="29"/>
        <v>0</v>
      </c>
      <c r="AH56" s="62"/>
      <c r="AI56" s="143"/>
      <c r="AJ56" s="13">
        <f t="shared" si="30"/>
        <v>0</v>
      </c>
      <c r="AK56" s="62"/>
      <c r="AL56" s="143"/>
      <c r="AM56" s="13">
        <f t="shared" si="6"/>
        <v>0</v>
      </c>
      <c r="AN56" s="62"/>
      <c r="AO56" s="143"/>
      <c r="AP56" s="13">
        <f t="shared" si="7"/>
        <v>0</v>
      </c>
      <c r="AQ56" s="62"/>
      <c r="AR56" s="143"/>
      <c r="AS56" s="13">
        <f t="shared" si="8"/>
        <v>0</v>
      </c>
      <c r="AT56" s="62"/>
      <c r="AU56" s="143"/>
      <c r="AV56" s="13">
        <f t="shared" si="9"/>
        <v>0</v>
      </c>
      <c r="AW56" s="62"/>
      <c r="AX56" s="143"/>
      <c r="AY56" s="13">
        <f t="shared" si="10"/>
        <v>0</v>
      </c>
      <c r="AZ56" s="62"/>
      <c r="BA56" s="143"/>
      <c r="BB56" s="13">
        <f t="shared" si="11"/>
        <v>0</v>
      </c>
      <c r="BC56" s="62"/>
      <c r="BD56" s="143"/>
      <c r="BE56" s="13">
        <f t="shared" si="12"/>
        <v>0</v>
      </c>
      <c r="BF56" s="62"/>
      <c r="BG56" s="143"/>
      <c r="BH56" s="13">
        <f t="shared" si="13"/>
        <v>0</v>
      </c>
      <c r="BI56" s="184"/>
      <c r="BJ56" s="143"/>
      <c r="BK56" s="13">
        <f t="shared" si="14"/>
        <v>0</v>
      </c>
      <c r="BL56" s="62"/>
      <c r="BM56" s="143"/>
      <c r="BN56" s="13">
        <f t="shared" si="15"/>
        <v>0</v>
      </c>
      <c r="BO56" s="62"/>
      <c r="BP56" s="143"/>
      <c r="BQ56" s="13">
        <f t="shared" si="16"/>
        <v>0</v>
      </c>
      <c r="BR56" s="62"/>
      <c r="BS56" s="143"/>
      <c r="BT56" s="13">
        <f t="shared" si="17"/>
        <v>0</v>
      </c>
      <c r="BU56" s="62"/>
      <c r="BV56" s="143"/>
      <c r="BW56" s="13">
        <f t="shared" si="18"/>
        <v>0</v>
      </c>
      <c r="BX56" s="62"/>
      <c r="BY56" s="143"/>
      <c r="BZ56" s="13">
        <f t="shared" si="19"/>
        <v>0</v>
      </c>
      <c r="CA56" s="62"/>
      <c r="CB56" s="143"/>
      <c r="CC56" s="13">
        <f t="shared" si="20"/>
        <v>0</v>
      </c>
      <c r="CD56" s="62"/>
      <c r="CE56" s="143"/>
      <c r="CF56" s="13">
        <f t="shared" si="21"/>
        <v>0</v>
      </c>
      <c r="CG56" s="62"/>
      <c r="CH56" s="143"/>
      <c r="CI56" s="13">
        <f t="shared" si="31"/>
        <v>0</v>
      </c>
      <c r="CJ56" s="62"/>
      <c r="CK56" s="143"/>
      <c r="CL56" s="13">
        <f t="shared" si="32"/>
        <v>0</v>
      </c>
      <c r="CM56" s="62"/>
      <c r="CN56" s="143"/>
      <c r="CO56" s="13">
        <f t="shared" si="22"/>
        <v>0</v>
      </c>
      <c r="CP56" s="62"/>
      <c r="CQ56" s="143"/>
      <c r="CR56" s="13">
        <f t="shared" si="33"/>
        <v>0</v>
      </c>
      <c r="CS56" s="61"/>
      <c r="CT56" s="143"/>
      <c r="CU56" s="14">
        <f t="shared" si="23"/>
        <v>0</v>
      </c>
      <c r="CV56" s="5">
        <f t="shared" si="36"/>
        <v>1</v>
      </c>
      <c r="CW56" s="4">
        <f t="shared" si="36"/>
        <v>2</v>
      </c>
      <c r="CX56" s="6">
        <f t="shared" si="25"/>
        <v>0</v>
      </c>
      <c r="CY56" s="162">
        <v>0</v>
      </c>
      <c r="CZ56" s="171">
        <f t="shared" si="26"/>
        <v>0</v>
      </c>
      <c r="DB56" s="2">
        <f t="shared" si="34"/>
        <v>0</v>
      </c>
      <c r="DC56" s="61"/>
      <c r="DD56" s="143"/>
      <c r="DE56" s="149">
        <f t="shared" si="35"/>
        <v>0</v>
      </c>
    </row>
    <row r="57" spans="1:109" ht="15.75" customHeight="1">
      <c r="A57" s="33" t="s">
        <v>39</v>
      </c>
      <c r="B57" s="3" t="s">
        <v>107</v>
      </c>
      <c r="C57" s="109" t="s">
        <v>21</v>
      </c>
      <c r="D57" s="34"/>
      <c r="E57" s="34"/>
      <c r="F57" s="14">
        <v>0</v>
      </c>
      <c r="G57" s="62"/>
      <c r="H57" s="143"/>
      <c r="I57" s="13">
        <f t="shared" si="0"/>
        <v>0</v>
      </c>
      <c r="J57" s="62"/>
      <c r="K57" s="143"/>
      <c r="L57" s="13">
        <f t="shared" si="1"/>
        <v>0</v>
      </c>
      <c r="M57" s="61"/>
      <c r="N57" s="143"/>
      <c r="O57" s="13">
        <f t="shared" si="2"/>
        <v>0</v>
      </c>
      <c r="P57" s="62"/>
      <c r="Q57" s="143"/>
      <c r="R57" s="13">
        <f t="shared" si="3"/>
        <v>0</v>
      </c>
      <c r="S57" s="61"/>
      <c r="T57" s="143"/>
      <c r="U57" s="13">
        <f t="shared" si="4"/>
        <v>0</v>
      </c>
      <c r="V57" s="62"/>
      <c r="W57" s="143"/>
      <c r="X57" s="13">
        <f t="shared" si="5"/>
        <v>0</v>
      </c>
      <c r="Y57" s="62"/>
      <c r="Z57" s="143"/>
      <c r="AA57" s="13">
        <f t="shared" si="27"/>
        <v>0</v>
      </c>
      <c r="AB57" s="62"/>
      <c r="AC57" s="143"/>
      <c r="AD57" s="13">
        <f t="shared" si="28"/>
        <v>0</v>
      </c>
      <c r="AE57" s="62"/>
      <c r="AF57" s="143"/>
      <c r="AG57" s="13">
        <f t="shared" si="29"/>
        <v>0</v>
      </c>
      <c r="AH57" s="62"/>
      <c r="AI57" s="143"/>
      <c r="AJ57" s="13">
        <f t="shared" si="30"/>
        <v>0</v>
      </c>
      <c r="AK57" s="62"/>
      <c r="AL57" s="143"/>
      <c r="AM57" s="13">
        <f t="shared" si="6"/>
        <v>0</v>
      </c>
      <c r="AN57" s="62"/>
      <c r="AO57" s="143"/>
      <c r="AP57" s="13">
        <f t="shared" si="7"/>
        <v>0</v>
      </c>
      <c r="AQ57" s="62"/>
      <c r="AR57" s="143"/>
      <c r="AS57" s="13">
        <f t="shared" si="8"/>
        <v>0</v>
      </c>
      <c r="AT57" s="62"/>
      <c r="AU57" s="143"/>
      <c r="AV57" s="13">
        <f t="shared" si="9"/>
        <v>0</v>
      </c>
      <c r="AW57" s="62"/>
      <c r="AX57" s="143"/>
      <c r="AY57" s="13">
        <f t="shared" si="10"/>
        <v>0</v>
      </c>
      <c r="AZ57" s="62"/>
      <c r="BA57" s="143"/>
      <c r="BB57" s="13">
        <f t="shared" si="11"/>
        <v>0</v>
      </c>
      <c r="BC57" s="62"/>
      <c r="BD57" s="143"/>
      <c r="BE57" s="13">
        <f t="shared" si="12"/>
        <v>0</v>
      </c>
      <c r="BF57" s="62"/>
      <c r="BG57" s="143"/>
      <c r="BH57" s="13">
        <f t="shared" si="13"/>
        <v>0</v>
      </c>
      <c r="BI57" s="184"/>
      <c r="BJ57" s="143"/>
      <c r="BK57" s="13">
        <f t="shared" si="14"/>
        <v>0</v>
      </c>
      <c r="BL57" s="62"/>
      <c r="BM57" s="143"/>
      <c r="BN57" s="13">
        <f t="shared" si="15"/>
        <v>0</v>
      </c>
      <c r="BO57" s="62"/>
      <c r="BP57" s="143"/>
      <c r="BQ57" s="13">
        <f t="shared" si="16"/>
        <v>0</v>
      </c>
      <c r="BR57" s="62"/>
      <c r="BS57" s="143"/>
      <c r="BT57" s="13">
        <f t="shared" si="17"/>
        <v>0</v>
      </c>
      <c r="BU57" s="62"/>
      <c r="BV57" s="143"/>
      <c r="BW57" s="13">
        <f t="shared" si="18"/>
        <v>0</v>
      </c>
      <c r="BX57" s="62"/>
      <c r="BY57" s="143"/>
      <c r="BZ57" s="13">
        <f t="shared" si="19"/>
        <v>0</v>
      </c>
      <c r="CA57" s="62"/>
      <c r="CB57" s="143"/>
      <c r="CC57" s="13">
        <f t="shared" si="20"/>
        <v>0</v>
      </c>
      <c r="CD57" s="62"/>
      <c r="CE57" s="143"/>
      <c r="CF57" s="13">
        <f t="shared" si="21"/>
        <v>0</v>
      </c>
      <c r="CG57" s="62"/>
      <c r="CH57" s="143"/>
      <c r="CI57" s="13">
        <f t="shared" si="31"/>
        <v>0</v>
      </c>
      <c r="CJ57" s="62"/>
      <c r="CK57" s="143"/>
      <c r="CL57" s="13">
        <f t="shared" si="32"/>
        <v>0</v>
      </c>
      <c r="CM57" s="62"/>
      <c r="CN57" s="143"/>
      <c r="CO57" s="13">
        <f t="shared" si="22"/>
        <v>0</v>
      </c>
      <c r="CP57" s="62"/>
      <c r="CQ57" s="143"/>
      <c r="CR57" s="13">
        <f t="shared" si="33"/>
        <v>0</v>
      </c>
      <c r="CS57" s="62"/>
      <c r="CT57" s="143"/>
      <c r="CU57" s="14">
        <f t="shared" si="23"/>
        <v>0</v>
      </c>
      <c r="CV57" s="5">
        <f t="shared" si="36"/>
        <v>0</v>
      </c>
      <c r="CW57" s="4">
        <f t="shared" si="36"/>
        <v>0</v>
      </c>
      <c r="CX57" s="6">
        <f t="shared" si="25"/>
        <v>0</v>
      </c>
      <c r="CY57" s="162">
        <v>0</v>
      </c>
      <c r="CZ57" s="171">
        <f t="shared" si="26"/>
        <v>0</v>
      </c>
      <c r="DB57" s="2">
        <f t="shared" si="34"/>
        <v>0</v>
      </c>
      <c r="DC57" s="62"/>
      <c r="DD57" s="143"/>
      <c r="DE57" s="149">
        <f t="shared" si="35"/>
        <v>0</v>
      </c>
    </row>
    <row r="58" spans="1:109" ht="16.5" customHeight="1">
      <c r="A58" s="33" t="s">
        <v>54</v>
      </c>
      <c r="B58" s="3" t="s">
        <v>108</v>
      </c>
      <c r="C58" s="104" t="s">
        <v>50</v>
      </c>
      <c r="D58" s="34">
        <v>4</v>
      </c>
      <c r="E58" s="34" t="s">
        <v>33</v>
      </c>
      <c r="F58" s="14">
        <v>9.5999999999999908</v>
      </c>
      <c r="G58" s="62"/>
      <c r="H58" s="143"/>
      <c r="I58" s="13">
        <f t="shared" si="0"/>
        <v>9.5999999999999908</v>
      </c>
      <c r="J58" s="62"/>
      <c r="K58" s="143"/>
      <c r="L58" s="13">
        <f t="shared" si="1"/>
        <v>9.5999999999999908</v>
      </c>
      <c r="M58" s="61"/>
      <c r="N58" s="143"/>
      <c r="O58" s="13">
        <f t="shared" si="2"/>
        <v>9.5999999999999908</v>
      </c>
      <c r="P58" s="62"/>
      <c r="Q58" s="143"/>
      <c r="R58" s="13">
        <f t="shared" si="3"/>
        <v>9.5999999999999908</v>
      </c>
      <c r="S58" s="61"/>
      <c r="T58" s="143">
        <f>1.4</f>
        <v>1.4</v>
      </c>
      <c r="U58" s="13">
        <f t="shared" si="4"/>
        <v>8.1999999999999904</v>
      </c>
      <c r="V58" s="62">
        <v>10</v>
      </c>
      <c r="W58" s="143">
        <f>1.2+1.4+2.7</f>
        <v>5.3</v>
      </c>
      <c r="X58" s="13">
        <f t="shared" si="5"/>
        <v>12.899999999999988</v>
      </c>
      <c r="Y58" s="62"/>
      <c r="Z58" s="143">
        <f>1.2</f>
        <v>1.2</v>
      </c>
      <c r="AA58" s="13">
        <f t="shared" si="27"/>
        <v>11.699999999999989</v>
      </c>
      <c r="AB58" s="62"/>
      <c r="AC58" s="143"/>
      <c r="AD58" s="13">
        <f t="shared" si="28"/>
        <v>11.699999999999989</v>
      </c>
      <c r="AE58" s="62"/>
      <c r="AF58" s="143"/>
      <c r="AG58" s="13">
        <f t="shared" si="29"/>
        <v>11.699999999999989</v>
      </c>
      <c r="AH58" s="62"/>
      <c r="AI58" s="143"/>
      <c r="AJ58" s="13">
        <f t="shared" si="30"/>
        <v>11.699999999999989</v>
      </c>
      <c r="AK58" s="62"/>
      <c r="AL58" s="143">
        <f>1.4+2</f>
        <v>3.4</v>
      </c>
      <c r="AM58" s="13">
        <f t="shared" si="6"/>
        <v>8.2999999999999883</v>
      </c>
      <c r="AN58" s="62"/>
      <c r="AO58" s="143"/>
      <c r="AP58" s="13">
        <f t="shared" si="7"/>
        <v>8.2999999999999883</v>
      </c>
      <c r="AQ58" s="62"/>
      <c r="AR58" s="143">
        <f>2.7+4.6</f>
        <v>7.3</v>
      </c>
      <c r="AS58" s="13">
        <f t="shared" si="8"/>
        <v>0.99999999999998845</v>
      </c>
      <c r="AT58" s="62">
        <v>10</v>
      </c>
      <c r="AU58" s="143">
        <f>2.9+1.9</f>
        <v>4.8</v>
      </c>
      <c r="AV58" s="13">
        <f t="shared" si="9"/>
        <v>6.1999999999999895</v>
      </c>
      <c r="AW58" s="62"/>
      <c r="AX58" s="143"/>
      <c r="AY58" s="13">
        <f t="shared" si="10"/>
        <v>6.1999999999999895</v>
      </c>
      <c r="AZ58" s="62"/>
      <c r="BA58" s="143">
        <f>0.2</f>
        <v>0.2</v>
      </c>
      <c r="BB58" s="13">
        <f t="shared" si="11"/>
        <v>5.9999999999999893</v>
      </c>
      <c r="BC58" s="62"/>
      <c r="BD58" s="143"/>
      <c r="BE58" s="13">
        <f t="shared" si="12"/>
        <v>5.9999999999999893</v>
      </c>
      <c r="BF58" s="62">
        <v>10</v>
      </c>
      <c r="BG58" s="143">
        <f>2.3+2.5</f>
        <v>4.8</v>
      </c>
      <c r="BH58" s="13">
        <f t="shared" si="13"/>
        <v>11.199999999999989</v>
      </c>
      <c r="BI58" s="184"/>
      <c r="BJ58" s="143"/>
      <c r="BK58" s="13">
        <f t="shared" si="14"/>
        <v>11.199999999999989</v>
      </c>
      <c r="BL58" s="62"/>
      <c r="BM58" s="143">
        <f>1.9+1.3</f>
        <v>3.2</v>
      </c>
      <c r="BN58" s="13">
        <f t="shared" si="15"/>
        <v>7.9999999999999885</v>
      </c>
      <c r="BO58" s="62"/>
      <c r="BP58" s="143">
        <f>1.2+1.8+1.3+1.4</f>
        <v>5.6999999999999993</v>
      </c>
      <c r="BQ58" s="13">
        <f t="shared" si="16"/>
        <v>2.2999999999999892</v>
      </c>
      <c r="BR58" s="62"/>
      <c r="BS58" s="143"/>
      <c r="BT58" s="13">
        <f t="shared" si="17"/>
        <v>2.2999999999999892</v>
      </c>
      <c r="BU58" s="62">
        <v>10</v>
      </c>
      <c r="BV58" s="143"/>
      <c r="BW58" s="13">
        <f t="shared" si="18"/>
        <v>12.29999999999999</v>
      </c>
      <c r="BX58" s="62"/>
      <c r="BY58" s="143"/>
      <c r="BZ58" s="13">
        <f t="shared" si="19"/>
        <v>12.29999999999999</v>
      </c>
      <c r="CA58" s="62">
        <v>-0.3</v>
      </c>
      <c r="CB58" s="143">
        <f>1.9+1.7+1.6</f>
        <v>5.1999999999999993</v>
      </c>
      <c r="CC58" s="13">
        <f t="shared" si="20"/>
        <v>6.7999999999999901</v>
      </c>
      <c r="CD58" s="62"/>
      <c r="CE58" s="143"/>
      <c r="CF58" s="13">
        <f t="shared" si="21"/>
        <v>6.7999999999999901</v>
      </c>
      <c r="CG58" s="62">
        <v>10</v>
      </c>
      <c r="CH58" s="143">
        <f>2.5+5.8+2.8</f>
        <v>11.100000000000001</v>
      </c>
      <c r="CI58" s="13">
        <f t="shared" si="31"/>
        <v>5.6999999999999886</v>
      </c>
      <c r="CJ58" s="62"/>
      <c r="CK58" s="143">
        <f>1.5</f>
        <v>1.5</v>
      </c>
      <c r="CL58" s="13">
        <f t="shared" si="32"/>
        <v>4.1999999999999886</v>
      </c>
      <c r="CM58" s="62"/>
      <c r="CN58" s="143"/>
      <c r="CO58" s="13">
        <f t="shared" si="22"/>
        <v>4.1999999999999886</v>
      </c>
      <c r="CP58" s="62"/>
      <c r="CQ58" s="143"/>
      <c r="CR58" s="13">
        <f t="shared" si="33"/>
        <v>4.1999999999999886</v>
      </c>
      <c r="CS58" s="61"/>
      <c r="CT58" s="143"/>
      <c r="CU58" s="14">
        <f t="shared" si="23"/>
        <v>4.1999999999999886</v>
      </c>
      <c r="CV58" s="5">
        <f t="shared" si="36"/>
        <v>49.7</v>
      </c>
      <c r="CW58" s="4">
        <f t="shared" si="36"/>
        <v>55.1</v>
      </c>
      <c r="CX58" s="6">
        <f t="shared" si="25"/>
        <v>4.1999999999999886</v>
      </c>
      <c r="CY58" s="162">
        <v>330</v>
      </c>
      <c r="CZ58" s="171">
        <f t="shared" si="26"/>
        <v>1385.9999999999964</v>
      </c>
      <c r="DB58" s="2">
        <f t="shared" si="34"/>
        <v>4.1999999999999886</v>
      </c>
      <c r="DC58" s="61"/>
      <c r="DD58" s="143"/>
      <c r="DE58" s="149">
        <f t="shared" si="35"/>
        <v>4.1999999999999886</v>
      </c>
    </row>
    <row r="59" spans="1:109" ht="15.75" customHeight="1">
      <c r="A59" s="33"/>
      <c r="B59" s="36" t="s">
        <v>177</v>
      </c>
      <c r="C59" s="104" t="s">
        <v>30</v>
      </c>
      <c r="D59" s="34" t="s">
        <v>109</v>
      </c>
      <c r="E59" s="34" t="s">
        <v>27</v>
      </c>
      <c r="F59" s="14">
        <v>57</v>
      </c>
      <c r="G59" s="62"/>
      <c r="H59" s="143"/>
      <c r="I59" s="13">
        <f t="shared" si="0"/>
        <v>57</v>
      </c>
      <c r="J59" s="62"/>
      <c r="K59" s="143"/>
      <c r="L59" s="13">
        <f t="shared" si="1"/>
        <v>57</v>
      </c>
      <c r="M59" s="61">
        <v>60</v>
      </c>
      <c r="N59" s="143">
        <f>32+11+2</f>
        <v>45</v>
      </c>
      <c r="O59" s="13">
        <f t="shared" si="2"/>
        <v>72</v>
      </c>
      <c r="P59" s="62">
        <v>50</v>
      </c>
      <c r="Q59" s="143">
        <f>5+15+50</f>
        <v>70</v>
      </c>
      <c r="R59" s="30">
        <f t="shared" si="3"/>
        <v>52</v>
      </c>
      <c r="S59" s="61"/>
      <c r="T59" s="143"/>
      <c r="U59" s="13">
        <f t="shared" si="4"/>
        <v>52</v>
      </c>
      <c r="V59" s="62">
        <v>30</v>
      </c>
      <c r="W59" s="143">
        <f>10+2+13</f>
        <v>25</v>
      </c>
      <c r="X59" s="13">
        <f t="shared" si="5"/>
        <v>57</v>
      </c>
      <c r="Y59" s="62">
        <v>40</v>
      </c>
      <c r="Z59" s="143">
        <f>5+3+30</f>
        <v>38</v>
      </c>
      <c r="AA59" s="13">
        <f t="shared" si="27"/>
        <v>59</v>
      </c>
      <c r="AB59" s="62"/>
      <c r="AC59" s="143"/>
      <c r="AD59" s="13">
        <f t="shared" si="28"/>
        <v>59</v>
      </c>
      <c r="AE59" s="62">
        <v>40</v>
      </c>
      <c r="AF59" s="143">
        <f>3+9+11</f>
        <v>23</v>
      </c>
      <c r="AG59" s="13">
        <f t="shared" si="29"/>
        <v>76</v>
      </c>
      <c r="AH59" s="62">
        <v>40</v>
      </c>
      <c r="AI59" s="143">
        <f>2+6+18</f>
        <v>26</v>
      </c>
      <c r="AJ59" s="13">
        <f t="shared" si="30"/>
        <v>90</v>
      </c>
      <c r="AK59" s="62">
        <v>40</v>
      </c>
      <c r="AL59" s="143">
        <f>12+61</f>
        <v>73</v>
      </c>
      <c r="AM59" s="13">
        <f t="shared" si="6"/>
        <v>57</v>
      </c>
      <c r="AN59" s="62"/>
      <c r="AO59" s="143"/>
      <c r="AP59" s="13">
        <f t="shared" si="7"/>
        <v>57</v>
      </c>
      <c r="AQ59" s="62">
        <v>30</v>
      </c>
      <c r="AR59" s="143">
        <f>4+21+8</f>
        <v>33</v>
      </c>
      <c r="AS59" s="13">
        <f t="shared" si="8"/>
        <v>54</v>
      </c>
      <c r="AT59" s="62">
        <v>40</v>
      </c>
      <c r="AU59" s="143">
        <f>4+13+32</f>
        <v>49</v>
      </c>
      <c r="AV59" s="13">
        <f t="shared" si="9"/>
        <v>45</v>
      </c>
      <c r="AW59" s="62"/>
      <c r="AX59" s="143"/>
      <c r="AY59" s="13">
        <f t="shared" si="10"/>
        <v>45</v>
      </c>
      <c r="AZ59" s="62">
        <v>40</v>
      </c>
      <c r="BA59" s="143">
        <f>2+11+19</f>
        <v>32</v>
      </c>
      <c r="BB59" s="13">
        <f t="shared" si="11"/>
        <v>53</v>
      </c>
      <c r="BC59" s="62">
        <v>60</v>
      </c>
      <c r="BD59" s="143">
        <f>2+9+27</f>
        <v>38</v>
      </c>
      <c r="BE59" s="13">
        <f t="shared" si="12"/>
        <v>75</v>
      </c>
      <c r="BF59" s="62">
        <v>30</v>
      </c>
      <c r="BG59" s="143">
        <f>4+19+40</f>
        <v>63</v>
      </c>
      <c r="BH59" s="13">
        <f t="shared" si="13"/>
        <v>42</v>
      </c>
      <c r="BI59" s="184"/>
      <c r="BJ59" s="143"/>
      <c r="BK59" s="13">
        <f t="shared" si="14"/>
        <v>42</v>
      </c>
      <c r="BL59" s="62">
        <v>40</v>
      </c>
      <c r="BM59" s="143">
        <f>2+10+18</f>
        <v>30</v>
      </c>
      <c r="BN59" s="13">
        <f t="shared" si="15"/>
        <v>52</v>
      </c>
      <c r="BO59" s="62">
        <v>40</v>
      </c>
      <c r="BP59" s="143">
        <f>3+19+29</f>
        <v>51</v>
      </c>
      <c r="BQ59" s="13">
        <f t="shared" si="16"/>
        <v>41</v>
      </c>
      <c r="BR59" s="62"/>
      <c r="BS59" s="143"/>
      <c r="BT59" s="13">
        <f t="shared" si="17"/>
        <v>41</v>
      </c>
      <c r="BU59" s="62">
        <v>40</v>
      </c>
      <c r="BV59" s="143">
        <f>3+13+17</f>
        <v>33</v>
      </c>
      <c r="BW59" s="13">
        <f t="shared" si="18"/>
        <v>48</v>
      </c>
      <c r="BX59" s="62">
        <v>60</v>
      </c>
      <c r="BY59" s="143">
        <f>10+25</f>
        <v>35</v>
      </c>
      <c r="BZ59" s="13">
        <f t="shared" si="19"/>
        <v>73</v>
      </c>
      <c r="CA59" s="62">
        <v>40</v>
      </c>
      <c r="CB59" s="143">
        <f>5+15+56</f>
        <v>76</v>
      </c>
      <c r="CC59" s="13">
        <f t="shared" si="20"/>
        <v>37</v>
      </c>
      <c r="CD59" s="62"/>
      <c r="CE59" s="143"/>
      <c r="CF59" s="13">
        <f t="shared" si="21"/>
        <v>37</v>
      </c>
      <c r="CG59" s="62">
        <v>30</v>
      </c>
      <c r="CH59" s="143">
        <f>2+9+21</f>
        <v>32</v>
      </c>
      <c r="CI59" s="13">
        <f t="shared" si="31"/>
        <v>35</v>
      </c>
      <c r="CJ59" s="62">
        <v>40</v>
      </c>
      <c r="CK59" s="143">
        <f>3+25+25</f>
        <v>53</v>
      </c>
      <c r="CL59" s="13">
        <f t="shared" si="32"/>
        <v>22</v>
      </c>
      <c r="CM59" s="62">
        <v>20</v>
      </c>
      <c r="CN59" s="143"/>
      <c r="CO59" s="13">
        <f t="shared" si="22"/>
        <v>42</v>
      </c>
      <c r="CP59" s="62">
        <v>40</v>
      </c>
      <c r="CQ59" s="143">
        <f>1+11+17</f>
        <v>29</v>
      </c>
      <c r="CR59" s="13">
        <f t="shared" si="33"/>
        <v>53</v>
      </c>
      <c r="CS59" s="61">
        <v>30</v>
      </c>
      <c r="CT59" s="143">
        <f>2+13+15</f>
        <v>30</v>
      </c>
      <c r="CU59" s="14">
        <f t="shared" si="23"/>
        <v>53</v>
      </c>
      <c r="CV59" s="5">
        <f t="shared" si="36"/>
        <v>880</v>
      </c>
      <c r="CW59" s="4">
        <f t="shared" si="36"/>
        <v>884</v>
      </c>
      <c r="CX59" s="6">
        <f t="shared" si="25"/>
        <v>53</v>
      </c>
      <c r="CY59" s="162">
        <v>214</v>
      </c>
      <c r="CZ59" s="171">
        <f t="shared" si="26"/>
        <v>11342</v>
      </c>
      <c r="DB59" s="2">
        <f t="shared" si="34"/>
        <v>53</v>
      </c>
      <c r="DC59" s="61"/>
      <c r="DD59" s="143"/>
      <c r="DE59" s="149">
        <f t="shared" si="35"/>
        <v>53</v>
      </c>
    </row>
    <row r="60" spans="1:109" ht="15.75" customHeight="1">
      <c r="A60" s="33"/>
      <c r="B60" s="7" t="s">
        <v>110</v>
      </c>
      <c r="C60" s="105" t="s">
        <v>27</v>
      </c>
      <c r="D60" s="35" t="s">
        <v>187</v>
      </c>
      <c r="E60" s="35" t="s">
        <v>27</v>
      </c>
      <c r="F60" s="14">
        <v>28</v>
      </c>
      <c r="G60" s="62"/>
      <c r="H60" s="143"/>
      <c r="I60" s="13">
        <f t="shared" si="0"/>
        <v>28</v>
      </c>
      <c r="J60" s="62"/>
      <c r="K60" s="143"/>
      <c r="L60" s="13">
        <f t="shared" si="1"/>
        <v>28</v>
      </c>
      <c r="M60" s="61">
        <v>24</v>
      </c>
      <c r="N60" s="143">
        <v>16</v>
      </c>
      <c r="O60" s="13">
        <f t="shared" si="2"/>
        <v>36</v>
      </c>
      <c r="P60" s="62">
        <v>48</v>
      </c>
      <c r="Q60" s="143">
        <v>20</v>
      </c>
      <c r="R60" s="30">
        <f t="shared" si="3"/>
        <v>64</v>
      </c>
      <c r="S60" s="61"/>
      <c r="T60" s="143">
        <f>4+4+3</f>
        <v>11</v>
      </c>
      <c r="U60" s="13">
        <f t="shared" si="4"/>
        <v>53</v>
      </c>
      <c r="V60" s="62">
        <v>24</v>
      </c>
      <c r="W60" s="143">
        <f>18+1+5</f>
        <v>24</v>
      </c>
      <c r="X60" s="13">
        <f t="shared" si="5"/>
        <v>53</v>
      </c>
      <c r="Y60" s="62">
        <v>24</v>
      </c>
      <c r="Z60" s="143">
        <f>31+5+6+7</f>
        <v>49</v>
      </c>
      <c r="AA60" s="13">
        <f t="shared" si="27"/>
        <v>28</v>
      </c>
      <c r="AB60" s="62"/>
      <c r="AC60" s="143"/>
      <c r="AD60" s="13">
        <f t="shared" si="28"/>
        <v>28</v>
      </c>
      <c r="AE60" s="62">
        <v>24</v>
      </c>
      <c r="AF60" s="143">
        <f>4+1+1</f>
        <v>6</v>
      </c>
      <c r="AG60" s="13">
        <f t="shared" si="29"/>
        <v>46</v>
      </c>
      <c r="AH60" s="62">
        <v>24</v>
      </c>
      <c r="AI60" s="143">
        <f>14+6</f>
        <v>20</v>
      </c>
      <c r="AJ60" s="13">
        <f t="shared" si="30"/>
        <v>50</v>
      </c>
      <c r="AK60" s="62">
        <v>24</v>
      </c>
      <c r="AL60" s="143">
        <f>34+5+6</f>
        <v>45</v>
      </c>
      <c r="AM60" s="13">
        <f t="shared" si="6"/>
        <v>29</v>
      </c>
      <c r="AN60" s="62"/>
      <c r="AO60" s="143"/>
      <c r="AP60" s="13">
        <f t="shared" si="7"/>
        <v>29</v>
      </c>
      <c r="AQ60" s="62">
        <v>24</v>
      </c>
      <c r="AR60" s="143">
        <f>33</f>
        <v>33</v>
      </c>
      <c r="AS60" s="13">
        <f t="shared" si="8"/>
        <v>20</v>
      </c>
      <c r="AT60" s="62">
        <f>-10-2+20+24</f>
        <v>32</v>
      </c>
      <c r="AU60" s="143">
        <f>20+2+2</f>
        <v>24</v>
      </c>
      <c r="AV60" s="13">
        <f t="shared" si="9"/>
        <v>28</v>
      </c>
      <c r="AW60" s="62"/>
      <c r="AX60" s="143"/>
      <c r="AY60" s="13">
        <f t="shared" si="10"/>
        <v>28</v>
      </c>
      <c r="AZ60" s="62">
        <v>24</v>
      </c>
      <c r="BA60" s="143">
        <f>4+9+1+1+1+1</f>
        <v>17</v>
      </c>
      <c r="BB60" s="13">
        <f t="shared" si="11"/>
        <v>35</v>
      </c>
      <c r="BC60" s="62">
        <v>48</v>
      </c>
      <c r="BD60" s="143">
        <f>4</f>
        <v>4</v>
      </c>
      <c r="BE60" s="13">
        <f t="shared" si="12"/>
        <v>79</v>
      </c>
      <c r="BF60" s="62">
        <v>24</v>
      </c>
      <c r="BG60" s="143">
        <f>24+4+6</f>
        <v>34</v>
      </c>
      <c r="BH60" s="13">
        <f t="shared" si="13"/>
        <v>69</v>
      </c>
      <c r="BI60" s="184"/>
      <c r="BJ60" s="143"/>
      <c r="BK60" s="13">
        <f t="shared" si="14"/>
        <v>69</v>
      </c>
      <c r="BL60" s="62"/>
      <c r="BM60" s="143">
        <f>28+2+4+5+3</f>
        <v>42</v>
      </c>
      <c r="BN60" s="13">
        <f t="shared" si="15"/>
        <v>27</v>
      </c>
      <c r="BO60" s="62">
        <v>24</v>
      </c>
      <c r="BP60" s="143">
        <f>25+6</f>
        <v>31</v>
      </c>
      <c r="BQ60" s="13">
        <f t="shared" si="16"/>
        <v>20</v>
      </c>
      <c r="BR60" s="62"/>
      <c r="BS60" s="143"/>
      <c r="BT60" s="13">
        <f t="shared" si="17"/>
        <v>20</v>
      </c>
      <c r="BU60" s="62">
        <v>24</v>
      </c>
      <c r="BV60" s="143">
        <f>17+1+1+1</f>
        <v>20</v>
      </c>
      <c r="BW60" s="13">
        <f t="shared" si="18"/>
        <v>24</v>
      </c>
      <c r="BX60" s="62">
        <f>-11+24</f>
        <v>13</v>
      </c>
      <c r="BY60" s="143">
        <f>24+5+5-5-5</f>
        <v>24</v>
      </c>
      <c r="BZ60" s="13">
        <f t="shared" si="19"/>
        <v>13</v>
      </c>
      <c r="CA60" s="62">
        <f>-17+1-10+48</f>
        <v>22</v>
      </c>
      <c r="CB60" s="143">
        <f>13+6+3</f>
        <v>22</v>
      </c>
      <c r="CC60" s="13">
        <f t="shared" si="20"/>
        <v>13</v>
      </c>
      <c r="CD60" s="62"/>
      <c r="CE60" s="143"/>
      <c r="CF60" s="13">
        <f t="shared" si="21"/>
        <v>13</v>
      </c>
      <c r="CG60" s="62">
        <f>-10-34+96</f>
        <v>52</v>
      </c>
      <c r="CH60" s="143">
        <f>13+5+5</f>
        <v>23</v>
      </c>
      <c r="CI60" s="13">
        <f t="shared" si="31"/>
        <v>42</v>
      </c>
      <c r="CJ60" s="62">
        <v>48</v>
      </c>
      <c r="CK60" s="143">
        <f>22+3+7+4+4+6</f>
        <v>46</v>
      </c>
      <c r="CL60" s="13">
        <f t="shared" si="32"/>
        <v>44</v>
      </c>
      <c r="CM60" s="62"/>
      <c r="CN60" s="143"/>
      <c r="CO60" s="13">
        <f t="shared" si="22"/>
        <v>44</v>
      </c>
      <c r="CP60" s="62">
        <v>24</v>
      </c>
      <c r="CQ60" s="143">
        <f>16+2</f>
        <v>18</v>
      </c>
      <c r="CR60" s="13">
        <f t="shared" si="33"/>
        <v>50</v>
      </c>
      <c r="CS60" s="61">
        <v>24</v>
      </c>
      <c r="CT60" s="143">
        <f>26</f>
        <v>26</v>
      </c>
      <c r="CU60" s="14">
        <f t="shared" si="23"/>
        <v>48</v>
      </c>
      <c r="CV60" s="5">
        <f t="shared" si="36"/>
        <v>575</v>
      </c>
      <c r="CW60" s="4">
        <f t="shared" si="36"/>
        <v>555</v>
      </c>
      <c r="CX60" s="6">
        <f t="shared" si="25"/>
        <v>48</v>
      </c>
      <c r="CY60" s="162">
        <v>28</v>
      </c>
      <c r="CZ60" s="171">
        <f t="shared" si="26"/>
        <v>1344</v>
      </c>
      <c r="DB60" s="2">
        <f t="shared" si="34"/>
        <v>48</v>
      </c>
      <c r="DC60" s="61"/>
      <c r="DD60" s="143">
        <f>1+1</f>
        <v>2</v>
      </c>
      <c r="DE60" s="149">
        <f t="shared" si="35"/>
        <v>46</v>
      </c>
    </row>
    <row r="61" spans="1:109" ht="15.75" customHeight="1">
      <c r="A61" s="33" t="s">
        <v>98</v>
      </c>
      <c r="B61" s="3" t="s">
        <v>176</v>
      </c>
      <c r="C61" s="104" t="s">
        <v>105</v>
      </c>
      <c r="D61" s="34"/>
      <c r="E61" s="34" t="s">
        <v>51</v>
      </c>
      <c r="F61" s="14">
        <v>0</v>
      </c>
      <c r="G61" s="62"/>
      <c r="H61" s="143"/>
      <c r="I61" s="13">
        <f t="shared" si="0"/>
        <v>0</v>
      </c>
      <c r="J61" s="62"/>
      <c r="K61" s="143"/>
      <c r="L61" s="13">
        <f t="shared" si="1"/>
        <v>0</v>
      </c>
      <c r="M61" s="61"/>
      <c r="N61" s="143"/>
      <c r="O61" s="13">
        <f t="shared" si="2"/>
        <v>0</v>
      </c>
      <c r="P61" s="62"/>
      <c r="Q61" s="143"/>
      <c r="R61" s="30">
        <f t="shared" si="3"/>
        <v>0</v>
      </c>
      <c r="S61" s="61"/>
      <c r="T61" s="143"/>
      <c r="U61" s="13">
        <f t="shared" si="4"/>
        <v>0</v>
      </c>
      <c r="V61" s="62"/>
      <c r="W61" s="143"/>
      <c r="X61" s="13">
        <f t="shared" si="5"/>
        <v>0</v>
      </c>
      <c r="Y61" s="62"/>
      <c r="Z61" s="143"/>
      <c r="AA61" s="13">
        <f t="shared" si="27"/>
        <v>0</v>
      </c>
      <c r="AB61" s="62"/>
      <c r="AC61" s="143"/>
      <c r="AD61" s="13">
        <f t="shared" si="28"/>
        <v>0</v>
      </c>
      <c r="AE61" s="62"/>
      <c r="AF61" s="143"/>
      <c r="AG61" s="13">
        <f t="shared" si="29"/>
        <v>0</v>
      </c>
      <c r="AH61" s="62"/>
      <c r="AI61" s="143"/>
      <c r="AJ61" s="13">
        <f t="shared" si="30"/>
        <v>0</v>
      </c>
      <c r="AK61" s="62"/>
      <c r="AL61" s="143"/>
      <c r="AM61" s="13">
        <f t="shared" si="6"/>
        <v>0</v>
      </c>
      <c r="AN61" s="62"/>
      <c r="AO61" s="143"/>
      <c r="AP61" s="13">
        <f t="shared" si="7"/>
        <v>0</v>
      </c>
      <c r="AQ61" s="62"/>
      <c r="AR61" s="143"/>
      <c r="AS61" s="13">
        <f t="shared" si="8"/>
        <v>0</v>
      </c>
      <c r="AT61" s="62"/>
      <c r="AU61" s="143"/>
      <c r="AV61" s="13">
        <f t="shared" si="9"/>
        <v>0</v>
      </c>
      <c r="AW61" s="62"/>
      <c r="AX61" s="143"/>
      <c r="AY61" s="13">
        <f t="shared" si="10"/>
        <v>0</v>
      </c>
      <c r="AZ61" s="62"/>
      <c r="BA61" s="143"/>
      <c r="BB61" s="13">
        <f t="shared" si="11"/>
        <v>0</v>
      </c>
      <c r="BC61" s="62"/>
      <c r="BD61" s="143"/>
      <c r="BE61" s="13">
        <f t="shared" si="12"/>
        <v>0</v>
      </c>
      <c r="BF61" s="62"/>
      <c r="BG61" s="143"/>
      <c r="BH61" s="13">
        <f t="shared" si="13"/>
        <v>0</v>
      </c>
      <c r="BI61" s="184"/>
      <c r="BJ61" s="143"/>
      <c r="BK61" s="13">
        <f t="shared" si="14"/>
        <v>0</v>
      </c>
      <c r="BL61" s="62"/>
      <c r="BM61" s="143"/>
      <c r="BN61" s="13">
        <f t="shared" si="15"/>
        <v>0</v>
      </c>
      <c r="BO61" s="62"/>
      <c r="BP61" s="143"/>
      <c r="BQ61" s="13">
        <f t="shared" si="16"/>
        <v>0</v>
      </c>
      <c r="BR61" s="62"/>
      <c r="BS61" s="143"/>
      <c r="BT61" s="13">
        <f t="shared" si="17"/>
        <v>0</v>
      </c>
      <c r="BU61" s="62"/>
      <c r="BV61" s="143"/>
      <c r="BW61" s="13">
        <f t="shared" si="18"/>
        <v>0</v>
      </c>
      <c r="BX61" s="62"/>
      <c r="BY61" s="143"/>
      <c r="BZ61" s="13">
        <f t="shared" si="19"/>
        <v>0</v>
      </c>
      <c r="CA61" s="62"/>
      <c r="CB61" s="143"/>
      <c r="CC61" s="13">
        <f t="shared" si="20"/>
        <v>0</v>
      </c>
      <c r="CD61" s="62"/>
      <c r="CE61" s="143"/>
      <c r="CF61" s="13">
        <f t="shared" si="21"/>
        <v>0</v>
      </c>
      <c r="CG61" s="62"/>
      <c r="CH61" s="143"/>
      <c r="CI61" s="13">
        <f t="shared" si="31"/>
        <v>0</v>
      </c>
      <c r="CJ61" s="62"/>
      <c r="CK61" s="143"/>
      <c r="CL61" s="13">
        <f t="shared" si="32"/>
        <v>0</v>
      </c>
      <c r="CM61" s="62"/>
      <c r="CN61" s="143"/>
      <c r="CO61" s="13">
        <f t="shared" si="22"/>
        <v>0</v>
      </c>
      <c r="CP61" s="62"/>
      <c r="CQ61" s="143"/>
      <c r="CR61" s="13">
        <f t="shared" si="33"/>
        <v>0</v>
      </c>
      <c r="CS61" s="62"/>
      <c r="CT61" s="143"/>
      <c r="CU61" s="14">
        <f t="shared" si="23"/>
        <v>0</v>
      </c>
      <c r="CV61" s="5">
        <f t="shared" si="36"/>
        <v>0</v>
      </c>
      <c r="CW61" s="4">
        <f t="shared" si="36"/>
        <v>0</v>
      </c>
      <c r="CX61" s="6">
        <f t="shared" si="25"/>
        <v>0</v>
      </c>
      <c r="CY61" s="162">
        <v>0</v>
      </c>
      <c r="CZ61" s="171">
        <f t="shared" si="26"/>
        <v>0</v>
      </c>
      <c r="DB61" s="2">
        <f t="shared" si="34"/>
        <v>0</v>
      </c>
      <c r="DC61" s="62"/>
      <c r="DD61" s="143"/>
      <c r="DE61" s="149">
        <f t="shared" si="35"/>
        <v>0</v>
      </c>
    </row>
    <row r="62" spans="1:109" ht="15.75" customHeight="1">
      <c r="A62" s="33"/>
      <c r="B62" s="7" t="s">
        <v>111</v>
      </c>
      <c r="C62" s="105" t="s">
        <v>21</v>
      </c>
      <c r="D62" s="35"/>
      <c r="E62" s="35" t="s">
        <v>21</v>
      </c>
      <c r="F62" s="14">
        <v>0</v>
      </c>
      <c r="G62" s="62"/>
      <c r="H62" s="143"/>
      <c r="I62" s="13">
        <f t="shared" si="0"/>
        <v>0</v>
      </c>
      <c r="J62" s="62"/>
      <c r="K62" s="143"/>
      <c r="L62" s="13">
        <f t="shared" si="1"/>
        <v>0</v>
      </c>
      <c r="M62" s="61"/>
      <c r="N62" s="143"/>
      <c r="O62" s="13">
        <f t="shared" si="2"/>
        <v>0</v>
      </c>
      <c r="P62" s="62"/>
      <c r="Q62" s="143"/>
      <c r="R62" s="30">
        <f t="shared" si="3"/>
        <v>0</v>
      </c>
      <c r="S62" s="61"/>
      <c r="T62" s="143"/>
      <c r="U62" s="13">
        <f t="shared" si="4"/>
        <v>0</v>
      </c>
      <c r="V62" s="62"/>
      <c r="W62" s="143"/>
      <c r="X62" s="13">
        <f t="shared" si="5"/>
        <v>0</v>
      </c>
      <c r="Y62" s="62"/>
      <c r="Z62" s="143"/>
      <c r="AA62" s="13">
        <f t="shared" si="27"/>
        <v>0</v>
      </c>
      <c r="AB62" s="62"/>
      <c r="AC62" s="143"/>
      <c r="AD62" s="13">
        <f t="shared" si="28"/>
        <v>0</v>
      </c>
      <c r="AE62" s="62"/>
      <c r="AF62" s="143"/>
      <c r="AG62" s="13">
        <f t="shared" si="29"/>
        <v>0</v>
      </c>
      <c r="AH62" s="62"/>
      <c r="AI62" s="143"/>
      <c r="AJ62" s="13">
        <f t="shared" si="30"/>
        <v>0</v>
      </c>
      <c r="AK62" s="62"/>
      <c r="AL62" s="143"/>
      <c r="AM62" s="13">
        <f t="shared" si="6"/>
        <v>0</v>
      </c>
      <c r="AN62" s="62"/>
      <c r="AO62" s="143"/>
      <c r="AP62" s="13">
        <f t="shared" si="7"/>
        <v>0</v>
      </c>
      <c r="AQ62" s="62"/>
      <c r="AR62" s="143"/>
      <c r="AS62" s="13">
        <f t="shared" si="8"/>
        <v>0</v>
      </c>
      <c r="AT62" s="62"/>
      <c r="AU62" s="143"/>
      <c r="AV62" s="13">
        <f>AS62+AT62-AU62</f>
        <v>0</v>
      </c>
      <c r="AW62" s="62"/>
      <c r="AX62" s="143"/>
      <c r="AY62" s="13">
        <f>AV62+AW62-AX62</f>
        <v>0</v>
      </c>
      <c r="AZ62" s="62"/>
      <c r="BA62" s="143"/>
      <c r="BB62" s="13">
        <f t="shared" si="11"/>
        <v>0</v>
      </c>
      <c r="BC62" s="62"/>
      <c r="BD62" s="143"/>
      <c r="BE62" s="13">
        <f t="shared" si="12"/>
        <v>0</v>
      </c>
      <c r="BF62" s="62"/>
      <c r="BG62" s="143"/>
      <c r="BH62" s="13">
        <f t="shared" si="13"/>
        <v>0</v>
      </c>
      <c r="BI62" s="184"/>
      <c r="BJ62" s="143"/>
      <c r="BK62" s="13">
        <f t="shared" si="14"/>
        <v>0</v>
      </c>
      <c r="BL62" s="62"/>
      <c r="BM62" s="143"/>
      <c r="BN62" s="13">
        <f t="shared" si="15"/>
        <v>0</v>
      </c>
      <c r="BO62" s="62"/>
      <c r="BP62" s="143"/>
      <c r="BQ62" s="13">
        <f t="shared" si="16"/>
        <v>0</v>
      </c>
      <c r="BR62" s="62"/>
      <c r="BS62" s="143"/>
      <c r="BT62" s="13">
        <f t="shared" si="17"/>
        <v>0</v>
      </c>
      <c r="BU62" s="62"/>
      <c r="BV62" s="143"/>
      <c r="BW62" s="13">
        <f t="shared" si="18"/>
        <v>0</v>
      </c>
      <c r="BX62" s="62"/>
      <c r="BY62" s="143"/>
      <c r="BZ62" s="13">
        <f t="shared" si="19"/>
        <v>0</v>
      </c>
      <c r="CA62" s="62"/>
      <c r="CB62" s="143"/>
      <c r="CC62" s="13">
        <f t="shared" si="20"/>
        <v>0</v>
      </c>
      <c r="CD62" s="62"/>
      <c r="CE62" s="143"/>
      <c r="CF62" s="13">
        <f t="shared" si="21"/>
        <v>0</v>
      </c>
      <c r="CG62" s="62"/>
      <c r="CH62" s="143"/>
      <c r="CI62" s="13">
        <f t="shared" si="31"/>
        <v>0</v>
      </c>
      <c r="CJ62" s="62"/>
      <c r="CK62" s="143"/>
      <c r="CL62" s="13">
        <f t="shared" si="32"/>
        <v>0</v>
      </c>
      <c r="CM62" s="62"/>
      <c r="CN62" s="143"/>
      <c r="CO62" s="13">
        <f t="shared" si="22"/>
        <v>0</v>
      </c>
      <c r="CP62" s="62"/>
      <c r="CQ62" s="143"/>
      <c r="CR62" s="13">
        <f t="shared" si="33"/>
        <v>0</v>
      </c>
      <c r="CS62" s="61"/>
      <c r="CT62" s="143"/>
      <c r="CU62" s="14">
        <f t="shared" si="23"/>
        <v>0</v>
      </c>
      <c r="CV62" s="5">
        <f t="shared" si="36"/>
        <v>0</v>
      </c>
      <c r="CW62" s="4">
        <f t="shared" si="36"/>
        <v>0</v>
      </c>
      <c r="CX62" s="6">
        <f t="shared" si="25"/>
        <v>0</v>
      </c>
      <c r="CY62" s="162">
        <v>0</v>
      </c>
      <c r="CZ62" s="171">
        <f t="shared" si="26"/>
        <v>0</v>
      </c>
      <c r="DB62" s="2">
        <f t="shared" si="34"/>
        <v>0</v>
      </c>
      <c r="DC62" s="61"/>
      <c r="DD62" s="143"/>
      <c r="DE62" s="149">
        <f t="shared" si="35"/>
        <v>0</v>
      </c>
    </row>
    <row r="63" spans="1:109" ht="15.75" customHeight="1">
      <c r="A63" s="33" t="s">
        <v>112</v>
      </c>
      <c r="B63" s="49" t="s">
        <v>113</v>
      </c>
      <c r="C63" s="108" t="s">
        <v>21</v>
      </c>
      <c r="D63" s="52">
        <v>280</v>
      </c>
      <c r="E63" s="52" t="s">
        <v>26</v>
      </c>
      <c r="F63" s="14">
        <v>187</v>
      </c>
      <c r="G63" s="62"/>
      <c r="H63" s="143"/>
      <c r="I63" s="13">
        <f t="shared" si="0"/>
        <v>187</v>
      </c>
      <c r="J63" s="62"/>
      <c r="K63" s="143"/>
      <c r="L63" s="13">
        <f t="shared" si="1"/>
        <v>187</v>
      </c>
      <c r="M63" s="61">
        <v>280</v>
      </c>
      <c r="N63" s="143">
        <f>155+17</f>
        <v>172</v>
      </c>
      <c r="O63" s="13">
        <f t="shared" si="2"/>
        <v>295</v>
      </c>
      <c r="P63" s="62">
        <v>-20</v>
      </c>
      <c r="Q63" s="143">
        <f>4+195</f>
        <v>199</v>
      </c>
      <c r="R63" s="30">
        <f t="shared" si="3"/>
        <v>76</v>
      </c>
      <c r="S63" s="61">
        <v>280</v>
      </c>
      <c r="T63" s="143"/>
      <c r="U63" s="13">
        <f t="shared" si="4"/>
        <v>356</v>
      </c>
      <c r="V63" s="64">
        <v>280</v>
      </c>
      <c r="W63" s="143">
        <f>7+20+270</f>
        <v>297</v>
      </c>
      <c r="X63" s="13">
        <f t="shared" si="5"/>
        <v>339</v>
      </c>
      <c r="Y63" s="62">
        <v>140</v>
      </c>
      <c r="Z63" s="143">
        <f>30+2+185</f>
        <v>217</v>
      </c>
      <c r="AA63" s="13">
        <f t="shared" si="27"/>
        <v>262</v>
      </c>
      <c r="AB63" s="62"/>
      <c r="AC63" s="143"/>
      <c r="AD63" s="13">
        <f t="shared" si="28"/>
        <v>262</v>
      </c>
      <c r="AE63" s="62">
        <v>280</v>
      </c>
      <c r="AF63" s="143">
        <f>60+1</f>
        <v>61</v>
      </c>
      <c r="AG63" s="13">
        <f t="shared" si="29"/>
        <v>481</v>
      </c>
      <c r="AH63" s="62"/>
      <c r="AI63" s="143">
        <f>1+95</f>
        <v>96</v>
      </c>
      <c r="AJ63" s="13">
        <f t="shared" si="30"/>
        <v>385</v>
      </c>
      <c r="AK63" s="62">
        <v>280</v>
      </c>
      <c r="AL63" s="143">
        <f>20+4+150</f>
        <v>174</v>
      </c>
      <c r="AM63" s="13">
        <f t="shared" si="6"/>
        <v>491</v>
      </c>
      <c r="AN63" s="62"/>
      <c r="AO63" s="143"/>
      <c r="AP63" s="13">
        <f t="shared" si="7"/>
        <v>491</v>
      </c>
      <c r="AQ63" s="62"/>
      <c r="AR63" s="143">
        <f>55</f>
        <v>55</v>
      </c>
      <c r="AS63" s="13">
        <f t="shared" si="8"/>
        <v>436</v>
      </c>
      <c r="AT63" s="62">
        <v>280</v>
      </c>
      <c r="AU63" s="143">
        <f>30+4+130</f>
        <v>164</v>
      </c>
      <c r="AV63" s="13">
        <f t="shared" si="9"/>
        <v>552</v>
      </c>
      <c r="AW63" s="62"/>
      <c r="AX63" s="143"/>
      <c r="AY63" s="13">
        <f t="shared" si="10"/>
        <v>552</v>
      </c>
      <c r="AZ63" s="62"/>
      <c r="BA63" s="143">
        <v>161</v>
      </c>
      <c r="BB63" s="13">
        <f t="shared" si="11"/>
        <v>391</v>
      </c>
      <c r="BC63" s="62">
        <v>280</v>
      </c>
      <c r="BD63" s="143">
        <f>20+2+20</f>
        <v>42</v>
      </c>
      <c r="BE63" s="13">
        <f t="shared" si="12"/>
        <v>629</v>
      </c>
      <c r="BF63" s="62"/>
      <c r="BG63" s="143">
        <f>10+165</f>
        <v>175</v>
      </c>
      <c r="BH63" s="13">
        <f t="shared" si="13"/>
        <v>454</v>
      </c>
      <c r="BI63" s="184"/>
      <c r="BJ63" s="143"/>
      <c r="BK63" s="13">
        <f t="shared" si="14"/>
        <v>454</v>
      </c>
      <c r="BL63" s="64"/>
      <c r="BM63" s="143">
        <f>10+155</f>
        <v>165</v>
      </c>
      <c r="BN63" s="13">
        <f t="shared" si="15"/>
        <v>289</v>
      </c>
      <c r="BO63" s="62">
        <v>280</v>
      </c>
      <c r="BP63" s="143">
        <f>20+6+95</f>
        <v>121</v>
      </c>
      <c r="BQ63" s="13">
        <f t="shared" si="16"/>
        <v>448</v>
      </c>
      <c r="BR63" s="62"/>
      <c r="BS63" s="143"/>
      <c r="BT63" s="13">
        <f t="shared" si="17"/>
        <v>448</v>
      </c>
      <c r="BU63" s="62">
        <v>140</v>
      </c>
      <c r="BV63" s="143">
        <f>2+150+1</f>
        <v>153</v>
      </c>
      <c r="BW63" s="13">
        <f t="shared" si="18"/>
        <v>435</v>
      </c>
      <c r="BX63" s="62"/>
      <c r="BY63" s="143">
        <f>4+195</f>
        <v>199</v>
      </c>
      <c r="BZ63" s="13">
        <f t="shared" si="19"/>
        <v>236</v>
      </c>
      <c r="CA63" s="62">
        <v>420</v>
      </c>
      <c r="CB63" s="143">
        <f>40+2+160</f>
        <v>202</v>
      </c>
      <c r="CC63" s="13">
        <f t="shared" si="20"/>
        <v>454</v>
      </c>
      <c r="CD63" s="62"/>
      <c r="CE63" s="143"/>
      <c r="CF63" s="13">
        <f t="shared" si="21"/>
        <v>454</v>
      </c>
      <c r="CG63" s="62"/>
      <c r="CH63" s="143">
        <f>20+97</f>
        <v>117</v>
      </c>
      <c r="CI63" s="13">
        <f t="shared" si="31"/>
        <v>337</v>
      </c>
      <c r="CJ63" s="62"/>
      <c r="CK63" s="143">
        <f>2+165</f>
        <v>167</v>
      </c>
      <c r="CL63" s="13">
        <f t="shared" si="32"/>
        <v>170</v>
      </c>
      <c r="CM63" s="62"/>
      <c r="CN63" s="143"/>
      <c r="CO63" s="13">
        <f t="shared" si="22"/>
        <v>170</v>
      </c>
      <c r="CP63" s="62">
        <v>140</v>
      </c>
      <c r="CQ63" s="143">
        <f>20+2+125</f>
        <v>147</v>
      </c>
      <c r="CR63" s="13">
        <f t="shared" si="33"/>
        <v>163</v>
      </c>
      <c r="CS63" s="61"/>
      <c r="CT63" s="143">
        <f>100</f>
        <v>100</v>
      </c>
      <c r="CU63" s="14">
        <f t="shared" si="23"/>
        <v>63</v>
      </c>
      <c r="CV63" s="5">
        <f t="shared" si="36"/>
        <v>3060</v>
      </c>
      <c r="CW63" s="4">
        <f t="shared" si="36"/>
        <v>3184</v>
      </c>
      <c r="CX63" s="6">
        <f t="shared" si="25"/>
        <v>63</v>
      </c>
      <c r="CY63" s="162">
        <v>64</v>
      </c>
      <c r="CZ63" s="171">
        <f t="shared" si="26"/>
        <v>4032</v>
      </c>
      <c r="DB63" s="2">
        <f t="shared" si="34"/>
        <v>63</v>
      </c>
      <c r="DC63" s="61"/>
      <c r="DD63" s="143"/>
      <c r="DE63" s="149">
        <f t="shared" si="35"/>
        <v>63</v>
      </c>
    </row>
    <row r="64" spans="1:109" ht="15.75" customHeight="1">
      <c r="A64" s="33"/>
      <c r="B64" s="3" t="s">
        <v>266</v>
      </c>
      <c r="C64" s="104" t="s">
        <v>50</v>
      </c>
      <c r="D64" s="34"/>
      <c r="E64" s="34" t="s">
        <v>50</v>
      </c>
      <c r="F64" s="14">
        <v>6.3999999999999986</v>
      </c>
      <c r="G64" s="62"/>
      <c r="H64" s="143"/>
      <c r="I64" s="13">
        <f t="shared" si="0"/>
        <v>6.3999999999999986</v>
      </c>
      <c r="J64" s="62"/>
      <c r="K64" s="143"/>
      <c r="L64" s="13">
        <f t="shared" si="1"/>
        <v>6.3999999999999986</v>
      </c>
      <c r="M64" s="61"/>
      <c r="N64" s="143"/>
      <c r="O64" s="13">
        <f t="shared" si="2"/>
        <v>6.3999999999999986</v>
      </c>
      <c r="P64" s="62"/>
      <c r="Q64" s="143"/>
      <c r="R64" s="30">
        <f t="shared" si="3"/>
        <v>6.3999999999999986</v>
      </c>
      <c r="S64" s="61"/>
      <c r="T64" s="143">
        <v>0.7</v>
      </c>
      <c r="U64" s="13">
        <f t="shared" si="4"/>
        <v>5.6999999999999984</v>
      </c>
      <c r="V64" s="62"/>
      <c r="W64" s="143"/>
      <c r="X64" s="13">
        <f t="shared" si="5"/>
        <v>5.6999999999999984</v>
      </c>
      <c r="Y64" s="62"/>
      <c r="Z64" s="143"/>
      <c r="AA64" s="13">
        <f t="shared" si="27"/>
        <v>5.6999999999999984</v>
      </c>
      <c r="AB64" s="62"/>
      <c r="AC64" s="143"/>
      <c r="AD64" s="13">
        <f t="shared" si="28"/>
        <v>5.6999999999999984</v>
      </c>
      <c r="AE64" s="62"/>
      <c r="AF64" s="143"/>
      <c r="AG64" s="13">
        <f t="shared" si="29"/>
        <v>5.6999999999999984</v>
      </c>
      <c r="AH64" s="62"/>
      <c r="AI64" s="143"/>
      <c r="AJ64" s="13">
        <f t="shared" si="30"/>
        <v>5.6999999999999984</v>
      </c>
      <c r="AK64" s="62"/>
      <c r="AL64" s="143"/>
      <c r="AM64" s="13">
        <f t="shared" si="6"/>
        <v>5.6999999999999984</v>
      </c>
      <c r="AN64" s="62"/>
      <c r="AO64" s="143"/>
      <c r="AP64" s="13">
        <f t="shared" si="7"/>
        <v>5.6999999999999984</v>
      </c>
      <c r="AQ64" s="62"/>
      <c r="AR64" s="143"/>
      <c r="AS64" s="13">
        <f t="shared" si="8"/>
        <v>5.6999999999999984</v>
      </c>
      <c r="AT64" s="62"/>
      <c r="AU64" s="143"/>
      <c r="AV64" s="13">
        <f t="shared" si="9"/>
        <v>5.6999999999999984</v>
      </c>
      <c r="AW64" s="62"/>
      <c r="AX64" s="143"/>
      <c r="AY64" s="13">
        <f t="shared" si="10"/>
        <v>5.6999999999999984</v>
      </c>
      <c r="AZ64" s="62"/>
      <c r="BA64" s="143"/>
      <c r="BB64" s="13">
        <f t="shared" si="11"/>
        <v>5.6999999999999984</v>
      </c>
      <c r="BC64" s="62"/>
      <c r="BD64" s="143"/>
      <c r="BE64" s="13">
        <f t="shared" si="12"/>
        <v>5.6999999999999984</v>
      </c>
      <c r="BF64" s="62"/>
      <c r="BG64" s="143"/>
      <c r="BH64" s="13">
        <f t="shared" si="13"/>
        <v>5.6999999999999984</v>
      </c>
      <c r="BI64" s="184"/>
      <c r="BJ64" s="143"/>
      <c r="BK64" s="13">
        <f t="shared" si="14"/>
        <v>5.6999999999999984</v>
      </c>
      <c r="BL64" s="62"/>
      <c r="BM64" s="143"/>
      <c r="BN64" s="13">
        <f t="shared" si="15"/>
        <v>5.6999999999999984</v>
      </c>
      <c r="BO64" s="62"/>
      <c r="BP64" s="143"/>
      <c r="BQ64" s="13">
        <f t="shared" si="16"/>
        <v>5.6999999999999984</v>
      </c>
      <c r="BR64" s="62"/>
      <c r="BS64" s="143"/>
      <c r="BT64" s="13">
        <f t="shared" si="17"/>
        <v>5.6999999999999984</v>
      </c>
      <c r="BU64" s="62"/>
      <c r="BV64" s="143"/>
      <c r="BW64" s="13">
        <f t="shared" si="18"/>
        <v>5.6999999999999984</v>
      </c>
      <c r="BX64" s="62"/>
      <c r="BY64" s="143"/>
      <c r="BZ64" s="13">
        <f t="shared" si="19"/>
        <v>5.6999999999999984</v>
      </c>
      <c r="CA64" s="62"/>
      <c r="CB64" s="143"/>
      <c r="CC64" s="13">
        <f t="shared" si="20"/>
        <v>5.6999999999999984</v>
      </c>
      <c r="CD64" s="62"/>
      <c r="CE64" s="143"/>
      <c r="CF64" s="13">
        <f t="shared" si="21"/>
        <v>5.6999999999999984</v>
      </c>
      <c r="CG64" s="62"/>
      <c r="CH64" s="143"/>
      <c r="CI64" s="13">
        <f t="shared" si="31"/>
        <v>5.6999999999999984</v>
      </c>
      <c r="CJ64" s="62"/>
      <c r="CK64" s="143"/>
      <c r="CL64" s="13">
        <f t="shared" si="32"/>
        <v>5.6999999999999984</v>
      </c>
      <c r="CM64" s="62"/>
      <c r="CN64" s="143"/>
      <c r="CO64" s="13">
        <f t="shared" si="22"/>
        <v>5.6999999999999984</v>
      </c>
      <c r="CP64" s="62"/>
      <c r="CQ64" s="143"/>
      <c r="CR64" s="13">
        <f t="shared" si="33"/>
        <v>5.6999999999999984</v>
      </c>
      <c r="CS64" s="61"/>
      <c r="CT64" s="143"/>
      <c r="CU64" s="14">
        <f t="shared" si="23"/>
        <v>5.6999999999999984</v>
      </c>
      <c r="CV64" s="5">
        <f t="shared" si="36"/>
        <v>0</v>
      </c>
      <c r="CW64" s="4">
        <f t="shared" si="36"/>
        <v>0.7</v>
      </c>
      <c r="CX64" s="6">
        <f t="shared" si="25"/>
        <v>5.6999999999999984</v>
      </c>
      <c r="CY64" s="162">
        <v>0</v>
      </c>
      <c r="CZ64" s="171">
        <f t="shared" si="26"/>
        <v>0</v>
      </c>
      <c r="DB64" s="2">
        <f t="shared" si="34"/>
        <v>5.6999999999999984</v>
      </c>
      <c r="DC64" s="61"/>
      <c r="DD64" s="143"/>
      <c r="DE64" s="149">
        <f t="shared" si="35"/>
        <v>5.6999999999999984</v>
      </c>
    </row>
    <row r="65" spans="1:109" ht="15.75" customHeight="1">
      <c r="A65" s="33"/>
      <c r="B65" s="7" t="s">
        <v>264</v>
      </c>
      <c r="C65" s="105" t="s">
        <v>27</v>
      </c>
      <c r="D65" s="35"/>
      <c r="E65" s="35" t="s">
        <v>27</v>
      </c>
      <c r="F65" s="14">
        <v>0</v>
      </c>
      <c r="G65" s="62"/>
      <c r="H65" s="143"/>
      <c r="I65" s="13">
        <f t="shared" si="0"/>
        <v>0</v>
      </c>
      <c r="J65" s="62"/>
      <c r="K65" s="143"/>
      <c r="L65" s="13">
        <f t="shared" si="1"/>
        <v>0</v>
      </c>
      <c r="M65" s="61"/>
      <c r="N65" s="143"/>
      <c r="O65" s="13">
        <f t="shared" si="2"/>
        <v>0</v>
      </c>
      <c r="P65" s="64"/>
      <c r="Q65" s="143"/>
      <c r="R65" s="30">
        <f t="shared" si="3"/>
        <v>0</v>
      </c>
      <c r="S65" s="61"/>
      <c r="T65" s="143"/>
      <c r="U65" s="13">
        <f t="shared" si="4"/>
        <v>0</v>
      </c>
      <c r="V65" s="62"/>
      <c r="W65" s="143"/>
      <c r="X65" s="13">
        <f t="shared" si="5"/>
        <v>0</v>
      </c>
      <c r="Y65" s="62"/>
      <c r="Z65" s="143"/>
      <c r="AA65" s="13">
        <f t="shared" si="27"/>
        <v>0</v>
      </c>
      <c r="AB65" s="62"/>
      <c r="AC65" s="143"/>
      <c r="AD65" s="13">
        <f t="shared" si="28"/>
        <v>0</v>
      </c>
      <c r="AE65" s="62"/>
      <c r="AF65" s="143"/>
      <c r="AG65" s="13">
        <f t="shared" si="29"/>
        <v>0</v>
      </c>
      <c r="AH65" s="62"/>
      <c r="AI65" s="143"/>
      <c r="AJ65" s="13">
        <f t="shared" si="30"/>
        <v>0</v>
      </c>
      <c r="AK65" s="62"/>
      <c r="AL65" s="143"/>
      <c r="AM65" s="13">
        <f t="shared" si="6"/>
        <v>0</v>
      </c>
      <c r="AN65" s="62"/>
      <c r="AO65" s="143"/>
      <c r="AP65" s="13">
        <f t="shared" si="7"/>
        <v>0</v>
      </c>
      <c r="AQ65" s="62"/>
      <c r="AR65" s="143"/>
      <c r="AS65" s="13">
        <f t="shared" si="8"/>
        <v>0</v>
      </c>
      <c r="AT65" s="62"/>
      <c r="AU65" s="143"/>
      <c r="AV65" s="13">
        <f t="shared" si="9"/>
        <v>0</v>
      </c>
      <c r="AW65" s="62"/>
      <c r="AX65" s="143"/>
      <c r="AY65" s="13">
        <f t="shared" si="10"/>
        <v>0</v>
      </c>
      <c r="AZ65" s="62"/>
      <c r="BA65" s="143"/>
      <c r="BB65" s="13">
        <f t="shared" si="11"/>
        <v>0</v>
      </c>
      <c r="BC65" s="62"/>
      <c r="BD65" s="143"/>
      <c r="BE65" s="13">
        <f t="shared" si="12"/>
        <v>0</v>
      </c>
      <c r="BF65" s="62"/>
      <c r="BG65" s="143"/>
      <c r="BH65" s="13">
        <f t="shared" si="13"/>
        <v>0</v>
      </c>
      <c r="BI65" s="184"/>
      <c r="BJ65" s="143"/>
      <c r="BK65" s="13">
        <f t="shared" si="14"/>
        <v>0</v>
      </c>
      <c r="BL65" s="62"/>
      <c r="BM65" s="143"/>
      <c r="BN65" s="13">
        <f t="shared" si="15"/>
        <v>0</v>
      </c>
      <c r="BO65" s="62"/>
      <c r="BP65" s="143"/>
      <c r="BQ65" s="13">
        <f t="shared" si="16"/>
        <v>0</v>
      </c>
      <c r="BR65" s="62"/>
      <c r="BS65" s="143"/>
      <c r="BT65" s="13">
        <f t="shared" si="17"/>
        <v>0</v>
      </c>
      <c r="BU65" s="62"/>
      <c r="BV65" s="143"/>
      <c r="BW65" s="13">
        <f t="shared" si="18"/>
        <v>0</v>
      </c>
      <c r="BX65" s="62"/>
      <c r="BY65" s="143"/>
      <c r="BZ65" s="13">
        <f t="shared" si="19"/>
        <v>0</v>
      </c>
      <c r="CA65" s="62"/>
      <c r="CB65" s="143"/>
      <c r="CC65" s="13">
        <f t="shared" si="20"/>
        <v>0</v>
      </c>
      <c r="CD65" s="62"/>
      <c r="CE65" s="143"/>
      <c r="CF65" s="13">
        <f t="shared" si="21"/>
        <v>0</v>
      </c>
      <c r="CG65" s="62"/>
      <c r="CH65" s="143"/>
      <c r="CI65" s="13">
        <f t="shared" si="31"/>
        <v>0</v>
      </c>
      <c r="CJ65" s="62"/>
      <c r="CK65" s="143"/>
      <c r="CL65" s="13">
        <f t="shared" si="32"/>
        <v>0</v>
      </c>
      <c r="CM65" s="62"/>
      <c r="CN65" s="143"/>
      <c r="CO65" s="13">
        <f t="shared" si="22"/>
        <v>0</v>
      </c>
      <c r="CP65" s="62"/>
      <c r="CQ65" s="143"/>
      <c r="CR65" s="13">
        <f t="shared" si="33"/>
        <v>0</v>
      </c>
      <c r="CS65" s="61"/>
      <c r="CT65" s="143"/>
      <c r="CU65" s="14">
        <f t="shared" si="23"/>
        <v>0</v>
      </c>
      <c r="CV65" s="5">
        <f t="shared" si="36"/>
        <v>0</v>
      </c>
      <c r="CW65" s="4">
        <f t="shared" si="36"/>
        <v>0</v>
      </c>
      <c r="CX65" s="6">
        <f t="shared" si="25"/>
        <v>0</v>
      </c>
      <c r="CY65" s="162">
        <v>0</v>
      </c>
      <c r="CZ65" s="171">
        <f t="shared" si="26"/>
        <v>0</v>
      </c>
      <c r="DB65" s="2">
        <f t="shared" si="34"/>
        <v>0</v>
      </c>
      <c r="DC65" s="61"/>
      <c r="DD65" s="143"/>
      <c r="DE65" s="149">
        <f t="shared" si="35"/>
        <v>0</v>
      </c>
    </row>
    <row r="66" spans="1:109" ht="15.75" customHeight="1">
      <c r="A66" s="33"/>
      <c r="B66" s="7" t="s">
        <v>241</v>
      </c>
      <c r="C66" s="105" t="s">
        <v>30</v>
      </c>
      <c r="D66" s="35"/>
      <c r="E66" s="35" t="s">
        <v>27</v>
      </c>
      <c r="F66" s="14">
        <v>0</v>
      </c>
      <c r="G66" s="62"/>
      <c r="H66" s="143"/>
      <c r="I66" s="13">
        <f t="shared" si="0"/>
        <v>0</v>
      </c>
      <c r="J66" s="62"/>
      <c r="K66" s="143"/>
      <c r="L66" s="13">
        <f t="shared" si="1"/>
        <v>0</v>
      </c>
      <c r="M66" s="61"/>
      <c r="N66" s="143"/>
      <c r="O66" s="13">
        <f t="shared" si="2"/>
        <v>0</v>
      </c>
      <c r="P66" s="62"/>
      <c r="Q66" s="143"/>
      <c r="R66" s="30">
        <f t="shared" si="3"/>
        <v>0</v>
      </c>
      <c r="S66" s="61"/>
      <c r="T66" s="143"/>
      <c r="U66" s="13">
        <f t="shared" si="4"/>
        <v>0</v>
      </c>
      <c r="V66" s="62"/>
      <c r="W66" s="143"/>
      <c r="X66" s="13">
        <f t="shared" si="5"/>
        <v>0</v>
      </c>
      <c r="Y66" s="62">
        <v>1</v>
      </c>
      <c r="Z66" s="143"/>
      <c r="AA66" s="13">
        <f t="shared" si="27"/>
        <v>1</v>
      </c>
      <c r="AB66" s="62"/>
      <c r="AC66" s="143"/>
      <c r="AD66" s="13">
        <f t="shared" si="28"/>
        <v>1</v>
      </c>
      <c r="AE66" s="62"/>
      <c r="AF66" s="143">
        <v>1</v>
      </c>
      <c r="AG66" s="13">
        <f t="shared" si="29"/>
        <v>0</v>
      </c>
      <c r="AH66" s="62"/>
      <c r="AI66" s="143"/>
      <c r="AJ66" s="13">
        <f t="shared" si="30"/>
        <v>0</v>
      </c>
      <c r="AK66" s="62"/>
      <c r="AL66" s="143"/>
      <c r="AM66" s="13">
        <f t="shared" si="6"/>
        <v>0</v>
      </c>
      <c r="AN66" s="62"/>
      <c r="AO66" s="143"/>
      <c r="AP66" s="13">
        <f t="shared" si="7"/>
        <v>0</v>
      </c>
      <c r="AQ66" s="62"/>
      <c r="AR66" s="143"/>
      <c r="AS66" s="13">
        <f t="shared" si="8"/>
        <v>0</v>
      </c>
      <c r="AT66" s="62"/>
      <c r="AU66" s="143"/>
      <c r="AV66" s="13">
        <f t="shared" si="9"/>
        <v>0</v>
      </c>
      <c r="AW66" s="62"/>
      <c r="AX66" s="143"/>
      <c r="AY66" s="13">
        <f t="shared" si="10"/>
        <v>0</v>
      </c>
      <c r="AZ66" s="62"/>
      <c r="BA66" s="143"/>
      <c r="BB66" s="13">
        <f t="shared" si="11"/>
        <v>0</v>
      </c>
      <c r="BC66" s="62">
        <v>1</v>
      </c>
      <c r="BD66" s="143"/>
      <c r="BE66" s="13">
        <f t="shared" si="12"/>
        <v>1</v>
      </c>
      <c r="BF66" s="62">
        <v>1</v>
      </c>
      <c r="BG66" s="143">
        <v>1</v>
      </c>
      <c r="BH66" s="13">
        <f t="shared" si="13"/>
        <v>1</v>
      </c>
      <c r="BI66" s="184"/>
      <c r="BJ66" s="143"/>
      <c r="BK66" s="13">
        <f t="shared" si="14"/>
        <v>1</v>
      </c>
      <c r="BL66" s="62"/>
      <c r="BM66" s="143">
        <v>1</v>
      </c>
      <c r="BN66" s="13">
        <f t="shared" si="15"/>
        <v>0</v>
      </c>
      <c r="BO66" s="62"/>
      <c r="BP66" s="143"/>
      <c r="BQ66" s="13">
        <f t="shared" si="16"/>
        <v>0</v>
      </c>
      <c r="BR66" s="62"/>
      <c r="BS66" s="143"/>
      <c r="BT66" s="13">
        <f t="shared" si="17"/>
        <v>0</v>
      </c>
      <c r="BU66" s="62"/>
      <c r="BV66" s="143"/>
      <c r="BW66" s="13">
        <f t="shared" si="18"/>
        <v>0</v>
      </c>
      <c r="BX66" s="62">
        <v>2</v>
      </c>
      <c r="BY66" s="143"/>
      <c r="BZ66" s="13">
        <f t="shared" si="19"/>
        <v>2</v>
      </c>
      <c r="CA66" s="62"/>
      <c r="CB66" s="143">
        <v>2</v>
      </c>
      <c r="CC66" s="13">
        <f t="shared" si="20"/>
        <v>0</v>
      </c>
      <c r="CD66" s="62"/>
      <c r="CE66" s="143"/>
      <c r="CF66" s="13">
        <f t="shared" si="21"/>
        <v>0</v>
      </c>
      <c r="CG66" s="62"/>
      <c r="CH66" s="143"/>
      <c r="CI66" s="13">
        <f t="shared" si="31"/>
        <v>0</v>
      </c>
      <c r="CJ66" s="62"/>
      <c r="CK66" s="143"/>
      <c r="CL66" s="13">
        <f t="shared" si="32"/>
        <v>0</v>
      </c>
      <c r="CM66" s="62"/>
      <c r="CN66" s="143"/>
      <c r="CO66" s="13">
        <f t="shared" si="22"/>
        <v>0</v>
      </c>
      <c r="CP66" s="62"/>
      <c r="CQ66" s="143"/>
      <c r="CR66" s="13">
        <f t="shared" si="33"/>
        <v>0</v>
      </c>
      <c r="CS66" s="62"/>
      <c r="CT66" s="143"/>
      <c r="CU66" s="14">
        <f t="shared" si="23"/>
        <v>0</v>
      </c>
      <c r="CV66" s="5">
        <f t="shared" si="36"/>
        <v>5</v>
      </c>
      <c r="CW66" s="4">
        <f t="shared" si="36"/>
        <v>5</v>
      </c>
      <c r="CX66" s="6">
        <f t="shared" si="25"/>
        <v>0</v>
      </c>
      <c r="CY66" s="162">
        <v>0</v>
      </c>
      <c r="CZ66" s="171">
        <f t="shared" si="26"/>
        <v>0</v>
      </c>
      <c r="DB66" s="2">
        <f t="shared" si="34"/>
        <v>0</v>
      </c>
      <c r="DC66" s="62"/>
      <c r="DD66" s="143"/>
      <c r="DE66" s="149">
        <f t="shared" si="35"/>
        <v>0</v>
      </c>
    </row>
    <row r="67" spans="1:109" ht="15.75" customHeight="1">
      <c r="A67" s="33"/>
      <c r="B67" s="7" t="s">
        <v>267</v>
      </c>
      <c r="C67" s="105" t="s">
        <v>27</v>
      </c>
      <c r="D67" s="35"/>
      <c r="E67" s="35" t="s">
        <v>27</v>
      </c>
      <c r="F67" s="14">
        <v>0</v>
      </c>
      <c r="G67" s="62"/>
      <c r="H67" s="143"/>
      <c r="I67" s="13">
        <f t="shared" si="0"/>
        <v>0</v>
      </c>
      <c r="J67" s="62"/>
      <c r="K67" s="143"/>
      <c r="L67" s="13">
        <f t="shared" si="1"/>
        <v>0</v>
      </c>
      <c r="M67" s="61"/>
      <c r="N67" s="143"/>
      <c r="O67" s="13">
        <f t="shared" si="2"/>
        <v>0</v>
      </c>
      <c r="P67" s="62"/>
      <c r="Q67" s="143"/>
      <c r="R67" s="30">
        <f t="shared" si="3"/>
        <v>0</v>
      </c>
      <c r="S67" s="61">
        <v>12</v>
      </c>
      <c r="T67" s="143"/>
      <c r="U67" s="13">
        <f t="shared" si="4"/>
        <v>12</v>
      </c>
      <c r="V67" s="62">
        <v>21</v>
      </c>
      <c r="W67" s="143">
        <v>12</v>
      </c>
      <c r="X67" s="13">
        <f t="shared" si="5"/>
        <v>21</v>
      </c>
      <c r="Y67" s="62">
        <v>4</v>
      </c>
      <c r="Z67" s="143">
        <v>11</v>
      </c>
      <c r="AA67" s="13">
        <f t="shared" si="27"/>
        <v>14</v>
      </c>
      <c r="AB67" s="62"/>
      <c r="AC67" s="143"/>
      <c r="AD67" s="13">
        <f t="shared" si="28"/>
        <v>14</v>
      </c>
      <c r="AE67" s="62">
        <v>4</v>
      </c>
      <c r="AF67" s="143">
        <v>8</v>
      </c>
      <c r="AG67" s="13">
        <f t="shared" si="29"/>
        <v>10</v>
      </c>
      <c r="AH67" s="62">
        <v>8</v>
      </c>
      <c r="AI67" s="143">
        <f>6</f>
        <v>6</v>
      </c>
      <c r="AJ67" s="13">
        <f t="shared" si="30"/>
        <v>12</v>
      </c>
      <c r="AK67" s="62">
        <v>8</v>
      </c>
      <c r="AL67" s="143">
        <v>12</v>
      </c>
      <c r="AM67" s="13">
        <f t="shared" si="6"/>
        <v>8</v>
      </c>
      <c r="AN67" s="62"/>
      <c r="AO67" s="143"/>
      <c r="AP67" s="13">
        <f t="shared" si="7"/>
        <v>8</v>
      </c>
      <c r="AQ67" s="62">
        <v>2</v>
      </c>
      <c r="AR67" s="143">
        <v>8</v>
      </c>
      <c r="AS67" s="13">
        <f t="shared" si="8"/>
        <v>2</v>
      </c>
      <c r="AT67" s="62">
        <v>2</v>
      </c>
      <c r="AU67" s="143">
        <v>2</v>
      </c>
      <c r="AV67" s="13">
        <f t="shared" si="9"/>
        <v>2</v>
      </c>
      <c r="AW67" s="62"/>
      <c r="AX67" s="143"/>
      <c r="AY67" s="13">
        <f t="shared" si="10"/>
        <v>2</v>
      </c>
      <c r="AZ67" s="62">
        <v>1</v>
      </c>
      <c r="BA67" s="143">
        <v>2</v>
      </c>
      <c r="BB67" s="13">
        <f t="shared" si="11"/>
        <v>1</v>
      </c>
      <c r="BC67" s="62">
        <v>4</v>
      </c>
      <c r="BD67" s="143">
        <v>1</v>
      </c>
      <c r="BE67" s="13">
        <f t="shared" si="12"/>
        <v>4</v>
      </c>
      <c r="BF67" s="62"/>
      <c r="BG67" s="143">
        <v>4</v>
      </c>
      <c r="BH67" s="13">
        <f t="shared" si="13"/>
        <v>0</v>
      </c>
      <c r="BI67" s="184"/>
      <c r="BJ67" s="143"/>
      <c r="BK67" s="13">
        <f t="shared" si="14"/>
        <v>0</v>
      </c>
      <c r="BL67" s="62"/>
      <c r="BM67" s="143"/>
      <c r="BN67" s="13">
        <f t="shared" si="15"/>
        <v>0</v>
      </c>
      <c r="BO67" s="62"/>
      <c r="BP67" s="143"/>
      <c r="BQ67" s="13">
        <f t="shared" si="16"/>
        <v>0</v>
      </c>
      <c r="BR67" s="62"/>
      <c r="BS67" s="143"/>
      <c r="BT67" s="13">
        <f t="shared" si="17"/>
        <v>0</v>
      </c>
      <c r="BU67" s="62"/>
      <c r="BV67" s="143"/>
      <c r="BW67" s="13">
        <f t="shared" si="18"/>
        <v>0</v>
      </c>
      <c r="BX67" s="62"/>
      <c r="BY67" s="143"/>
      <c r="BZ67" s="13">
        <f t="shared" si="19"/>
        <v>0</v>
      </c>
      <c r="CA67" s="62"/>
      <c r="CB67" s="143"/>
      <c r="CC67" s="13">
        <f t="shared" si="20"/>
        <v>0</v>
      </c>
      <c r="CD67" s="62"/>
      <c r="CE67" s="143"/>
      <c r="CF67" s="13">
        <f t="shared" si="21"/>
        <v>0</v>
      </c>
      <c r="CG67" s="62"/>
      <c r="CH67" s="143"/>
      <c r="CI67" s="13">
        <f t="shared" si="31"/>
        <v>0</v>
      </c>
      <c r="CJ67" s="62"/>
      <c r="CK67" s="143"/>
      <c r="CL67" s="13">
        <f t="shared" si="32"/>
        <v>0</v>
      </c>
      <c r="CM67" s="62"/>
      <c r="CN67" s="143"/>
      <c r="CO67" s="13">
        <f t="shared" si="22"/>
        <v>0</v>
      </c>
      <c r="CP67" s="62"/>
      <c r="CQ67" s="143"/>
      <c r="CR67" s="13">
        <f t="shared" si="33"/>
        <v>0</v>
      </c>
      <c r="CS67" s="62"/>
      <c r="CT67" s="143"/>
      <c r="CU67" s="14">
        <f t="shared" si="23"/>
        <v>0</v>
      </c>
      <c r="CV67" s="5">
        <f t="shared" si="36"/>
        <v>66</v>
      </c>
      <c r="CW67" s="4">
        <f t="shared" si="36"/>
        <v>66</v>
      </c>
      <c r="CX67" s="6">
        <f t="shared" si="25"/>
        <v>0</v>
      </c>
      <c r="CY67" s="162">
        <v>0</v>
      </c>
      <c r="CZ67" s="171">
        <f t="shared" si="26"/>
        <v>0</v>
      </c>
      <c r="DB67" s="2">
        <f t="shared" si="34"/>
        <v>0</v>
      </c>
      <c r="DC67" s="62"/>
      <c r="DD67" s="143"/>
      <c r="DE67" s="149">
        <f t="shared" si="35"/>
        <v>0</v>
      </c>
    </row>
    <row r="68" spans="1:109" s="18" customFormat="1" ht="15.75" customHeight="1">
      <c r="A68" s="33"/>
      <c r="B68" s="3" t="s">
        <v>251</v>
      </c>
      <c r="C68" s="104" t="s">
        <v>21</v>
      </c>
      <c r="D68" s="34"/>
      <c r="E68" s="34"/>
      <c r="F68" s="14">
        <v>0</v>
      </c>
      <c r="G68" s="62"/>
      <c r="H68" s="143"/>
      <c r="I68" s="13">
        <f>F68+G68-H68</f>
        <v>0</v>
      </c>
      <c r="J68" s="62"/>
      <c r="K68" s="143"/>
      <c r="L68" s="13">
        <f>I68+J68-K68</f>
        <v>0</v>
      </c>
      <c r="M68" s="61"/>
      <c r="N68" s="143"/>
      <c r="O68" s="13">
        <f>L68+M68-N68</f>
        <v>0</v>
      </c>
      <c r="P68" s="62"/>
      <c r="Q68" s="143"/>
      <c r="R68" s="13">
        <f>O68+P68-Q68</f>
        <v>0</v>
      </c>
      <c r="S68" s="61"/>
      <c r="T68" s="143"/>
      <c r="U68" s="13">
        <f t="shared" si="4"/>
        <v>0</v>
      </c>
      <c r="V68" s="62"/>
      <c r="W68" s="143"/>
      <c r="X68" s="13">
        <f t="shared" si="5"/>
        <v>0</v>
      </c>
      <c r="Y68" s="62"/>
      <c r="Z68" s="143"/>
      <c r="AA68" s="13">
        <f t="shared" si="27"/>
        <v>0</v>
      </c>
      <c r="AB68" s="62"/>
      <c r="AC68" s="143"/>
      <c r="AD68" s="13">
        <f t="shared" si="28"/>
        <v>0</v>
      </c>
      <c r="AE68" s="62"/>
      <c r="AF68" s="143"/>
      <c r="AG68" s="13">
        <f t="shared" si="29"/>
        <v>0</v>
      </c>
      <c r="AH68" s="62"/>
      <c r="AI68" s="143"/>
      <c r="AJ68" s="13">
        <f t="shared" si="30"/>
        <v>0</v>
      </c>
      <c r="AK68" s="62"/>
      <c r="AL68" s="143"/>
      <c r="AM68" s="13">
        <f t="shared" si="6"/>
        <v>0</v>
      </c>
      <c r="AN68" s="62"/>
      <c r="AO68" s="143"/>
      <c r="AP68" s="13">
        <f t="shared" si="7"/>
        <v>0</v>
      </c>
      <c r="AQ68" s="62"/>
      <c r="AR68" s="143"/>
      <c r="AS68" s="13">
        <f t="shared" si="8"/>
        <v>0</v>
      </c>
      <c r="AT68" s="62"/>
      <c r="AU68" s="143"/>
      <c r="AV68" s="13">
        <f t="shared" si="9"/>
        <v>0</v>
      </c>
      <c r="AW68" s="62"/>
      <c r="AX68" s="143"/>
      <c r="AY68" s="13">
        <f t="shared" si="10"/>
        <v>0</v>
      </c>
      <c r="AZ68" s="62"/>
      <c r="BA68" s="143"/>
      <c r="BB68" s="13">
        <f t="shared" si="11"/>
        <v>0</v>
      </c>
      <c r="BC68" s="62"/>
      <c r="BD68" s="143"/>
      <c r="BE68" s="13">
        <f t="shared" si="12"/>
        <v>0</v>
      </c>
      <c r="BF68" s="62"/>
      <c r="BG68" s="143"/>
      <c r="BH68" s="13">
        <f t="shared" si="13"/>
        <v>0</v>
      </c>
      <c r="BI68" s="184"/>
      <c r="BJ68" s="143"/>
      <c r="BK68" s="13">
        <f t="shared" si="14"/>
        <v>0</v>
      </c>
      <c r="BL68" s="62"/>
      <c r="BM68" s="143"/>
      <c r="BN68" s="13">
        <f t="shared" si="15"/>
        <v>0</v>
      </c>
      <c r="BO68" s="62"/>
      <c r="BP68" s="143"/>
      <c r="BQ68" s="13">
        <f t="shared" si="16"/>
        <v>0</v>
      </c>
      <c r="BR68" s="62"/>
      <c r="BS68" s="143"/>
      <c r="BT68" s="13">
        <f t="shared" si="17"/>
        <v>0</v>
      </c>
      <c r="BU68" s="62"/>
      <c r="BV68" s="143"/>
      <c r="BW68" s="13">
        <f t="shared" si="18"/>
        <v>0</v>
      </c>
      <c r="BX68" s="62"/>
      <c r="BY68" s="143"/>
      <c r="BZ68" s="13">
        <f t="shared" si="19"/>
        <v>0</v>
      </c>
      <c r="CA68" s="62"/>
      <c r="CB68" s="143"/>
      <c r="CC68" s="13">
        <f t="shared" si="20"/>
        <v>0</v>
      </c>
      <c r="CD68" s="62"/>
      <c r="CE68" s="143"/>
      <c r="CF68" s="13">
        <f t="shared" si="21"/>
        <v>0</v>
      </c>
      <c r="CG68" s="62"/>
      <c r="CH68" s="143"/>
      <c r="CI68" s="13">
        <f t="shared" si="31"/>
        <v>0</v>
      </c>
      <c r="CJ68" s="62"/>
      <c r="CK68" s="143"/>
      <c r="CL68" s="13">
        <f t="shared" si="32"/>
        <v>0</v>
      </c>
      <c r="CM68" s="62"/>
      <c r="CN68" s="143"/>
      <c r="CO68" s="13">
        <f t="shared" si="22"/>
        <v>0</v>
      </c>
      <c r="CP68" s="62"/>
      <c r="CQ68" s="143"/>
      <c r="CR68" s="13">
        <f t="shared" si="33"/>
        <v>0</v>
      </c>
      <c r="CS68" s="62"/>
      <c r="CT68" s="143"/>
      <c r="CU68" s="14">
        <f t="shared" si="23"/>
        <v>0</v>
      </c>
      <c r="CV68" s="5">
        <f t="shared" si="36"/>
        <v>0</v>
      </c>
      <c r="CW68" s="4">
        <f t="shared" si="36"/>
        <v>0</v>
      </c>
      <c r="CX68" s="6">
        <f t="shared" si="25"/>
        <v>0</v>
      </c>
      <c r="CY68" s="162">
        <v>0</v>
      </c>
      <c r="CZ68" s="171">
        <f t="shared" si="26"/>
        <v>0</v>
      </c>
      <c r="DB68" s="2">
        <f t="shared" si="34"/>
        <v>0</v>
      </c>
      <c r="DC68" s="62"/>
      <c r="DD68" s="143"/>
      <c r="DE68" s="149">
        <f t="shared" si="35"/>
        <v>0</v>
      </c>
    </row>
    <row r="69" spans="1:109" ht="15.75" customHeight="1">
      <c r="A69" s="33"/>
      <c r="B69" s="178" t="s">
        <v>259</v>
      </c>
      <c r="C69" s="104" t="s">
        <v>21</v>
      </c>
      <c r="D69" s="34"/>
      <c r="E69" s="34"/>
      <c r="F69" s="14">
        <v>0</v>
      </c>
      <c r="G69" s="62"/>
      <c r="H69" s="143"/>
      <c r="I69" s="13">
        <f>F69+G69-H69</f>
        <v>0</v>
      </c>
      <c r="J69" s="62"/>
      <c r="K69" s="143"/>
      <c r="L69" s="13">
        <f>I69+J69-K69</f>
        <v>0</v>
      </c>
      <c r="M69" s="62"/>
      <c r="N69" s="143"/>
      <c r="O69" s="13">
        <f>L69+M69-N69</f>
        <v>0</v>
      </c>
      <c r="P69" s="62"/>
      <c r="Q69" s="143"/>
      <c r="R69" s="30">
        <f>O69+P69-Q69</f>
        <v>0</v>
      </c>
      <c r="S69" s="61"/>
      <c r="T69" s="143"/>
      <c r="U69" s="13">
        <f>R69+S69-T69</f>
        <v>0</v>
      </c>
      <c r="V69" s="62"/>
      <c r="W69" s="143"/>
      <c r="X69" s="13">
        <f>U69+V69-W69</f>
        <v>0</v>
      </c>
      <c r="Y69" s="62"/>
      <c r="Z69" s="143"/>
      <c r="AA69" s="13">
        <f>X69+Y69-Z69</f>
        <v>0</v>
      </c>
      <c r="AB69" s="62"/>
      <c r="AC69" s="143"/>
      <c r="AD69" s="13">
        <f>AA69+AB69-AC69</f>
        <v>0</v>
      </c>
      <c r="AE69" s="62"/>
      <c r="AF69" s="143"/>
      <c r="AG69" s="13">
        <f>AD69+AE69-AF69</f>
        <v>0</v>
      </c>
      <c r="AH69" s="62"/>
      <c r="AI69" s="143"/>
      <c r="AJ69" s="13">
        <f>AG69+AH69-AI69</f>
        <v>0</v>
      </c>
      <c r="AK69" s="62"/>
      <c r="AL69" s="143"/>
      <c r="AM69" s="13">
        <f>AJ69+AK69-AL69</f>
        <v>0</v>
      </c>
      <c r="AN69" s="62"/>
      <c r="AO69" s="143"/>
      <c r="AP69" s="13">
        <f>AM69+AN69-AO69</f>
        <v>0</v>
      </c>
      <c r="AQ69" s="62"/>
      <c r="AR69" s="143"/>
      <c r="AS69" s="13">
        <f>AP69+AQ69-AR69</f>
        <v>0</v>
      </c>
      <c r="AT69" s="62"/>
      <c r="AU69" s="143"/>
      <c r="AV69" s="13">
        <f>AS69+AT69-AU69</f>
        <v>0</v>
      </c>
      <c r="AW69" s="62"/>
      <c r="AX69" s="143"/>
      <c r="AY69" s="13">
        <f>AV69+AW69-AX69</f>
        <v>0</v>
      </c>
      <c r="AZ69" s="62"/>
      <c r="BA69" s="143"/>
      <c r="BB69" s="13">
        <f>AY69+AZ69-BA69</f>
        <v>0</v>
      </c>
      <c r="BC69" s="62"/>
      <c r="BD69" s="143"/>
      <c r="BE69" s="13">
        <f>BB69+BC69-BD69</f>
        <v>0</v>
      </c>
      <c r="BF69" s="62"/>
      <c r="BG69" s="143"/>
      <c r="BH69" s="13">
        <f>BE69+BF69-BG69</f>
        <v>0</v>
      </c>
      <c r="BI69" s="184"/>
      <c r="BJ69" s="143"/>
      <c r="BK69" s="13">
        <f>BH69+BI69-BJ69</f>
        <v>0</v>
      </c>
      <c r="BL69" s="62"/>
      <c r="BM69" s="143"/>
      <c r="BN69" s="13">
        <f>BK69+BL69-BM69</f>
        <v>0</v>
      </c>
      <c r="BO69" s="62"/>
      <c r="BP69" s="143"/>
      <c r="BQ69" s="13">
        <f>BN69+BO69-BP69</f>
        <v>0</v>
      </c>
      <c r="BR69" s="62"/>
      <c r="BS69" s="143"/>
      <c r="BT69" s="13">
        <f t="shared" ref="BT69:BT93" si="37">BQ69+BR69-BS69</f>
        <v>0</v>
      </c>
      <c r="BU69" s="62"/>
      <c r="BV69" s="143"/>
      <c r="BW69" s="13">
        <f>BT69+BU69-BV69</f>
        <v>0</v>
      </c>
      <c r="BX69" s="62"/>
      <c r="BY69" s="143"/>
      <c r="BZ69" s="13">
        <f t="shared" ref="BZ69:BZ85" si="38">BW69+BX69-BY69</f>
        <v>0</v>
      </c>
      <c r="CA69" s="62"/>
      <c r="CB69" s="143"/>
      <c r="CC69" s="13">
        <f t="shared" ref="CC69:CC85" si="39">BZ69+CA69-CB69</f>
        <v>0</v>
      </c>
      <c r="CD69" s="62"/>
      <c r="CE69" s="143"/>
      <c r="CF69" s="13">
        <f t="shared" ref="CF69:CF85" si="40">CC69+CD69-CE69</f>
        <v>0</v>
      </c>
      <c r="CG69" s="62"/>
      <c r="CH69" s="143"/>
      <c r="CI69" s="13">
        <f t="shared" si="31"/>
        <v>0</v>
      </c>
      <c r="CJ69" s="62"/>
      <c r="CK69" s="143"/>
      <c r="CL69" s="13">
        <f t="shared" si="32"/>
        <v>0</v>
      </c>
      <c r="CM69" s="62"/>
      <c r="CN69" s="143"/>
      <c r="CO69" s="13">
        <f t="shared" ref="CO69:CO85" si="41">CL69+CM69-CN69</f>
        <v>0</v>
      </c>
      <c r="CP69" s="62"/>
      <c r="CQ69" s="143"/>
      <c r="CR69" s="13">
        <f t="shared" si="33"/>
        <v>0</v>
      </c>
      <c r="CS69" s="62"/>
      <c r="CT69" s="143"/>
      <c r="CU69" s="14">
        <f t="shared" ref="CU69:CU93" si="42">CR69+CS69-CT69</f>
        <v>0</v>
      </c>
      <c r="CV69" s="5">
        <f t="shared" ref="CV69:CW93" si="43">G69+J69+M69+P69+S69+V69+Y69+AB69+AE69+AH69+AK69+AN69+AQ69+AT69+AW69+AZ69+BC69+BF69+BI69+BL69+BO69+BR69+BU69+BX69+CA69+CD69+CG69+CJ69+CM69+CP69+CS69</f>
        <v>0</v>
      </c>
      <c r="CW69" s="4">
        <f t="shared" si="43"/>
        <v>0</v>
      </c>
      <c r="CX69" s="6">
        <f t="shared" ref="CX69:CX77" si="44">CU69</f>
        <v>0</v>
      </c>
      <c r="CY69" s="162">
        <v>0</v>
      </c>
      <c r="CZ69" s="171">
        <f t="shared" ref="CZ69:CZ93" si="45">CX69*CY69</f>
        <v>0</v>
      </c>
      <c r="DB69" s="2">
        <f t="shared" si="34"/>
        <v>0</v>
      </c>
      <c r="DC69" s="62"/>
      <c r="DD69" s="143"/>
      <c r="DE69" s="149">
        <f t="shared" si="35"/>
        <v>0</v>
      </c>
    </row>
    <row r="70" spans="1:109" ht="15.75" customHeight="1">
      <c r="A70" s="33"/>
      <c r="B70" s="3" t="s">
        <v>250</v>
      </c>
      <c r="C70" s="104" t="s">
        <v>21</v>
      </c>
      <c r="D70" s="34"/>
      <c r="E70" s="34"/>
      <c r="F70" s="14">
        <v>0</v>
      </c>
      <c r="G70" s="62"/>
      <c r="H70" s="143"/>
      <c r="I70" s="13">
        <f>F70+G70-H70</f>
        <v>0</v>
      </c>
      <c r="J70" s="62"/>
      <c r="K70" s="143"/>
      <c r="L70" s="13">
        <f>I70+J70-K70</f>
        <v>0</v>
      </c>
      <c r="M70" s="62"/>
      <c r="N70" s="143"/>
      <c r="O70" s="13">
        <f>L70+M70-N70</f>
        <v>0</v>
      </c>
      <c r="P70" s="62"/>
      <c r="Q70" s="143"/>
      <c r="R70" s="30">
        <f>O70+P70-Q70</f>
        <v>0</v>
      </c>
      <c r="S70" s="61"/>
      <c r="T70" s="143"/>
      <c r="U70" s="13">
        <f>R70+S70-T70</f>
        <v>0</v>
      </c>
      <c r="V70" s="62"/>
      <c r="W70" s="143"/>
      <c r="X70" s="13">
        <f>U70+V70-W70</f>
        <v>0</v>
      </c>
      <c r="Y70" s="62"/>
      <c r="Z70" s="143"/>
      <c r="AA70" s="13">
        <f>X70+Y70-Z70</f>
        <v>0</v>
      </c>
      <c r="AB70" s="62"/>
      <c r="AC70" s="143"/>
      <c r="AD70" s="13">
        <f>AA70+AB70-AC70</f>
        <v>0</v>
      </c>
      <c r="AE70" s="62"/>
      <c r="AF70" s="143"/>
      <c r="AG70" s="13">
        <f>AD70+AE70-AF70</f>
        <v>0</v>
      </c>
      <c r="AH70" s="62"/>
      <c r="AI70" s="143"/>
      <c r="AJ70" s="13">
        <f>AG70+AH70-AI70</f>
        <v>0</v>
      </c>
      <c r="AK70" s="62"/>
      <c r="AL70" s="143"/>
      <c r="AM70" s="13">
        <f>AJ70+AK70-AL70</f>
        <v>0</v>
      </c>
      <c r="AN70" s="62"/>
      <c r="AO70" s="143"/>
      <c r="AP70" s="13">
        <f>AM70+AN70-AO70</f>
        <v>0</v>
      </c>
      <c r="AQ70" s="62"/>
      <c r="AR70" s="143"/>
      <c r="AS70" s="13">
        <f>AP70+AQ70-AR70</f>
        <v>0</v>
      </c>
      <c r="AT70" s="62"/>
      <c r="AU70" s="143"/>
      <c r="AV70" s="13">
        <f>AS70+AT70-AU70</f>
        <v>0</v>
      </c>
      <c r="AW70" s="62"/>
      <c r="AX70" s="143"/>
      <c r="AY70" s="13">
        <f>AV70+AW70-AX70</f>
        <v>0</v>
      </c>
      <c r="AZ70" s="62"/>
      <c r="BA70" s="143"/>
      <c r="BB70" s="13">
        <f>AY70+AZ70-BA70</f>
        <v>0</v>
      </c>
      <c r="BC70" s="62"/>
      <c r="BD70" s="143"/>
      <c r="BE70" s="13">
        <f>BB70+BC70-BD70</f>
        <v>0</v>
      </c>
      <c r="BF70" s="62"/>
      <c r="BG70" s="143"/>
      <c r="BH70" s="13">
        <f>BE70+BF70-BG70</f>
        <v>0</v>
      </c>
      <c r="BI70" s="184"/>
      <c r="BJ70" s="143"/>
      <c r="BK70" s="13">
        <f>BH70+BI70-BJ70</f>
        <v>0</v>
      </c>
      <c r="BL70" s="62"/>
      <c r="BM70" s="143"/>
      <c r="BN70" s="13">
        <f>BK70+BL70-BM70</f>
        <v>0</v>
      </c>
      <c r="BO70" s="62"/>
      <c r="BP70" s="143"/>
      <c r="BQ70" s="13">
        <f>BN70+BO70-BP70</f>
        <v>0</v>
      </c>
      <c r="BR70" s="62"/>
      <c r="BS70" s="143"/>
      <c r="BT70" s="13">
        <f t="shared" si="37"/>
        <v>0</v>
      </c>
      <c r="BU70" s="62"/>
      <c r="BV70" s="143"/>
      <c r="BW70" s="13">
        <f>BT70+BU70-BV70</f>
        <v>0</v>
      </c>
      <c r="BX70" s="62"/>
      <c r="BY70" s="143"/>
      <c r="BZ70" s="13">
        <f t="shared" si="38"/>
        <v>0</v>
      </c>
      <c r="CA70" s="62"/>
      <c r="CB70" s="143"/>
      <c r="CC70" s="13">
        <f t="shared" si="39"/>
        <v>0</v>
      </c>
      <c r="CD70" s="62"/>
      <c r="CE70" s="143"/>
      <c r="CF70" s="13">
        <f t="shared" si="40"/>
        <v>0</v>
      </c>
      <c r="CG70" s="62"/>
      <c r="CH70" s="143"/>
      <c r="CI70" s="13">
        <f t="shared" ref="CI70:CI85" si="46">CF70+CG70-CH70</f>
        <v>0</v>
      </c>
      <c r="CJ70" s="62"/>
      <c r="CK70" s="143"/>
      <c r="CL70" s="13">
        <f t="shared" ref="CL70:CL85" si="47">CI70+CJ70-CK70</f>
        <v>0</v>
      </c>
      <c r="CM70" s="62"/>
      <c r="CN70" s="143"/>
      <c r="CO70" s="13">
        <f t="shared" si="41"/>
        <v>0</v>
      </c>
      <c r="CP70" s="62"/>
      <c r="CQ70" s="143"/>
      <c r="CR70" s="13">
        <f t="shared" ref="CR70:CR85" si="48">CO70+CP70-CQ70</f>
        <v>0</v>
      </c>
      <c r="CS70" s="62"/>
      <c r="CT70" s="143"/>
      <c r="CU70" s="14">
        <f t="shared" si="42"/>
        <v>0</v>
      </c>
      <c r="CV70" s="5">
        <f t="shared" si="43"/>
        <v>0</v>
      </c>
      <c r="CW70" s="4">
        <f t="shared" si="43"/>
        <v>0</v>
      </c>
      <c r="CX70" s="6">
        <f t="shared" si="44"/>
        <v>0</v>
      </c>
      <c r="CY70" s="162">
        <v>0</v>
      </c>
      <c r="CZ70" s="171">
        <f t="shared" si="45"/>
        <v>0</v>
      </c>
      <c r="DB70" s="2">
        <f t="shared" ref="DB70:DB93" si="49">CU70</f>
        <v>0</v>
      </c>
      <c r="DC70" s="62"/>
      <c r="DD70" s="143"/>
      <c r="DE70" s="149">
        <f t="shared" si="35"/>
        <v>0</v>
      </c>
    </row>
    <row r="71" spans="1:109" ht="15.75" customHeight="1">
      <c r="A71" s="33"/>
      <c r="B71" s="3" t="s">
        <v>199</v>
      </c>
      <c r="C71" s="104" t="s">
        <v>21</v>
      </c>
      <c r="D71" s="34"/>
      <c r="E71" s="34" t="s">
        <v>114</v>
      </c>
      <c r="F71" s="14">
        <v>53</v>
      </c>
      <c r="G71" s="62"/>
      <c r="H71" s="143"/>
      <c r="I71" s="13">
        <f>F71+G71-H71</f>
        <v>53</v>
      </c>
      <c r="J71" s="62"/>
      <c r="K71" s="143"/>
      <c r="L71" s="13">
        <f>I71+J71-K71</f>
        <v>53</v>
      </c>
      <c r="M71" s="62"/>
      <c r="N71" s="143"/>
      <c r="O71" s="13">
        <f>L71+M71-N71</f>
        <v>53</v>
      </c>
      <c r="P71" s="62"/>
      <c r="Q71" s="143"/>
      <c r="R71" s="13">
        <f>O71+P71-Q71</f>
        <v>53</v>
      </c>
      <c r="S71" s="61"/>
      <c r="T71" s="143">
        <v>2</v>
      </c>
      <c r="U71" s="13">
        <f>R71+S71-T71</f>
        <v>51</v>
      </c>
      <c r="V71" s="62"/>
      <c r="W71" s="143">
        <f>6+1</f>
        <v>7</v>
      </c>
      <c r="X71" s="13">
        <f>U71+V71-W71</f>
        <v>44</v>
      </c>
      <c r="Y71" s="62"/>
      <c r="Z71" s="143">
        <v>10</v>
      </c>
      <c r="AA71" s="13">
        <f>X71+Y71-Z71</f>
        <v>34</v>
      </c>
      <c r="AB71" s="62"/>
      <c r="AC71" s="143"/>
      <c r="AD71" s="13">
        <f>AA71+AB71-AC71</f>
        <v>34</v>
      </c>
      <c r="AE71" s="62"/>
      <c r="AF71" s="143">
        <f>2+2</f>
        <v>4</v>
      </c>
      <c r="AG71" s="13">
        <f>AD71+AE71-AF71</f>
        <v>30</v>
      </c>
      <c r="AH71" s="62"/>
      <c r="AI71" s="143"/>
      <c r="AJ71" s="13">
        <f>AG71+AH71-AI71</f>
        <v>30</v>
      </c>
      <c r="AK71" s="62"/>
      <c r="AL71" s="143">
        <f>3+3</f>
        <v>6</v>
      </c>
      <c r="AM71" s="13">
        <f>AJ71+AK71-AL71</f>
        <v>24</v>
      </c>
      <c r="AN71" s="62"/>
      <c r="AO71" s="143"/>
      <c r="AP71" s="13">
        <f>AM71+AN71-AO71</f>
        <v>24</v>
      </c>
      <c r="AQ71" s="62"/>
      <c r="AR71" s="143">
        <v>11</v>
      </c>
      <c r="AS71" s="13">
        <f>AP71+AQ71-AR71</f>
        <v>13</v>
      </c>
      <c r="AT71" s="62"/>
      <c r="AU71" s="143">
        <f>3+8</f>
        <v>11</v>
      </c>
      <c r="AV71" s="13">
        <f>AS71+AT71-AU71</f>
        <v>2</v>
      </c>
      <c r="AW71" s="62"/>
      <c r="AX71" s="143"/>
      <c r="AY71" s="13">
        <f>AV71+AW71-AX71</f>
        <v>2</v>
      </c>
      <c r="AZ71" s="62">
        <v>32</v>
      </c>
      <c r="BA71" s="143">
        <f>2+18</f>
        <v>20</v>
      </c>
      <c r="BB71" s="13">
        <f>AY71+AZ71-BA71</f>
        <v>14</v>
      </c>
      <c r="BC71" s="62"/>
      <c r="BD71" s="143"/>
      <c r="BE71" s="13">
        <f>BB71+BC71-BD71</f>
        <v>14</v>
      </c>
      <c r="BF71" s="62"/>
      <c r="BG71" s="143"/>
      <c r="BH71" s="13">
        <f>BE71+BF71-BG71</f>
        <v>14</v>
      </c>
      <c r="BI71" s="184"/>
      <c r="BJ71" s="143"/>
      <c r="BK71" s="13">
        <f>BH71+BI71-BJ71</f>
        <v>14</v>
      </c>
      <c r="BL71" s="62"/>
      <c r="BM71" s="143">
        <v>6</v>
      </c>
      <c r="BN71" s="13">
        <f>BK71+BL71-BM71</f>
        <v>8</v>
      </c>
      <c r="BO71" s="62"/>
      <c r="BP71" s="143">
        <f>4+2</f>
        <v>6</v>
      </c>
      <c r="BQ71" s="13">
        <f>BN71+BO71-BP71</f>
        <v>2</v>
      </c>
      <c r="BR71" s="62"/>
      <c r="BS71" s="143"/>
      <c r="BT71" s="13">
        <f t="shared" si="37"/>
        <v>2</v>
      </c>
      <c r="BU71" s="62"/>
      <c r="BV71" s="143">
        <v>2</v>
      </c>
      <c r="BW71" s="13">
        <f>BT71+BU71-BV71</f>
        <v>0</v>
      </c>
      <c r="BX71" s="62"/>
      <c r="BY71" s="143"/>
      <c r="BZ71" s="13">
        <f t="shared" si="38"/>
        <v>0</v>
      </c>
      <c r="CA71" s="62">
        <v>32</v>
      </c>
      <c r="CB71" s="143">
        <f>3+3</f>
        <v>6</v>
      </c>
      <c r="CC71" s="13">
        <f t="shared" si="39"/>
        <v>26</v>
      </c>
      <c r="CD71" s="62"/>
      <c r="CE71" s="143"/>
      <c r="CF71" s="13">
        <f t="shared" si="40"/>
        <v>26</v>
      </c>
      <c r="CG71" s="62"/>
      <c r="CH71" s="143"/>
      <c r="CI71" s="13">
        <f t="shared" si="46"/>
        <v>26</v>
      </c>
      <c r="CJ71" s="62"/>
      <c r="CK71" s="143">
        <f>3</f>
        <v>3</v>
      </c>
      <c r="CL71" s="13">
        <f t="shared" si="47"/>
        <v>23</v>
      </c>
      <c r="CM71" s="62"/>
      <c r="CN71" s="143"/>
      <c r="CO71" s="13">
        <f t="shared" si="41"/>
        <v>23</v>
      </c>
      <c r="CP71" s="62"/>
      <c r="CQ71" s="143">
        <v>20</v>
      </c>
      <c r="CR71" s="13">
        <f t="shared" si="48"/>
        <v>3</v>
      </c>
      <c r="CS71" s="62"/>
      <c r="CT71" s="143"/>
      <c r="CU71" s="14">
        <f t="shared" si="42"/>
        <v>3</v>
      </c>
      <c r="CV71" s="5">
        <f t="shared" si="43"/>
        <v>64</v>
      </c>
      <c r="CW71" s="4">
        <f t="shared" si="43"/>
        <v>114</v>
      </c>
      <c r="CX71" s="6">
        <f t="shared" si="44"/>
        <v>3</v>
      </c>
      <c r="CY71" s="162">
        <v>194</v>
      </c>
      <c r="CZ71" s="171">
        <f t="shared" si="45"/>
        <v>582</v>
      </c>
      <c r="DB71" s="2">
        <f t="shared" si="49"/>
        <v>3</v>
      </c>
      <c r="DC71" s="62"/>
      <c r="DD71" s="143"/>
      <c r="DE71" s="149">
        <f t="shared" ref="DE71:DE93" si="50">DC71+DB71-DD71</f>
        <v>3</v>
      </c>
    </row>
    <row r="72" spans="1:109" ht="15.75" customHeight="1">
      <c r="A72" s="33"/>
      <c r="B72" s="157" t="s">
        <v>208</v>
      </c>
      <c r="C72" s="158" t="s">
        <v>21</v>
      </c>
      <c r="D72" s="159"/>
      <c r="E72" s="159"/>
      <c r="F72" s="14">
        <v>0</v>
      </c>
      <c r="G72" s="62"/>
      <c r="H72" s="143"/>
      <c r="I72" s="13">
        <f>F72+G72-H72</f>
        <v>0</v>
      </c>
      <c r="J72" s="62"/>
      <c r="K72" s="143"/>
      <c r="L72" s="13">
        <f>I72+J72-K72</f>
        <v>0</v>
      </c>
      <c r="M72" s="62"/>
      <c r="N72" s="143"/>
      <c r="O72" s="13">
        <f>L72+M72-N72</f>
        <v>0</v>
      </c>
      <c r="P72" s="62"/>
      <c r="Q72" s="143"/>
      <c r="R72" s="30">
        <f>O72+P72-Q72</f>
        <v>0</v>
      </c>
      <c r="S72" s="61"/>
      <c r="T72" s="143"/>
      <c r="U72" s="13">
        <f>R72+S72-T72</f>
        <v>0</v>
      </c>
      <c r="V72" s="62"/>
      <c r="W72" s="143"/>
      <c r="X72" s="13">
        <f>U72+V72-W72</f>
        <v>0</v>
      </c>
      <c r="Y72" s="62"/>
      <c r="Z72" s="143"/>
      <c r="AA72" s="13">
        <f>X72+Y72-Z72</f>
        <v>0</v>
      </c>
      <c r="AB72" s="62"/>
      <c r="AC72" s="143"/>
      <c r="AD72" s="13">
        <f>AA72+AB72-AC72</f>
        <v>0</v>
      </c>
      <c r="AE72" s="62"/>
      <c r="AF72" s="143"/>
      <c r="AG72" s="13">
        <f>AD72+AE72-AF72</f>
        <v>0</v>
      </c>
      <c r="AH72" s="62"/>
      <c r="AI72" s="143"/>
      <c r="AJ72" s="13">
        <f>AG72+AH72-AI72</f>
        <v>0</v>
      </c>
      <c r="AK72" s="62"/>
      <c r="AL72" s="143"/>
      <c r="AM72" s="13">
        <f>AJ72+AK72-AL72</f>
        <v>0</v>
      </c>
      <c r="AN72" s="62"/>
      <c r="AO72" s="143"/>
      <c r="AP72" s="13">
        <f>AM72+AN72-AO72</f>
        <v>0</v>
      </c>
      <c r="AQ72" s="62"/>
      <c r="AR72" s="143"/>
      <c r="AS72" s="13">
        <f>AP72+AQ72-AR72</f>
        <v>0</v>
      </c>
      <c r="AT72" s="62"/>
      <c r="AU72" s="143"/>
      <c r="AV72" s="13">
        <f>AS72+AT72-AU72</f>
        <v>0</v>
      </c>
      <c r="AW72" s="62"/>
      <c r="AX72" s="143"/>
      <c r="AY72" s="13">
        <f>AV72+AW72-AX72</f>
        <v>0</v>
      </c>
      <c r="AZ72" s="62"/>
      <c r="BA72" s="143"/>
      <c r="BB72" s="13">
        <f>AY72+AZ72-BA72</f>
        <v>0</v>
      </c>
      <c r="BC72" s="62"/>
      <c r="BD72" s="143"/>
      <c r="BE72" s="13">
        <f>BB72+BC72-BD72</f>
        <v>0</v>
      </c>
      <c r="BF72" s="62"/>
      <c r="BG72" s="143"/>
      <c r="BH72" s="13">
        <f>BE72+BF72-BG72</f>
        <v>0</v>
      </c>
      <c r="BI72" s="184"/>
      <c r="BJ72" s="143"/>
      <c r="BK72" s="13">
        <f>BH72+BI72-BJ72</f>
        <v>0</v>
      </c>
      <c r="BL72" s="62"/>
      <c r="BM72" s="143"/>
      <c r="BN72" s="13">
        <f>BK72+BL72-BM72</f>
        <v>0</v>
      </c>
      <c r="BO72" s="62"/>
      <c r="BP72" s="143"/>
      <c r="BQ72" s="13">
        <f>BN72+BO72-BP72</f>
        <v>0</v>
      </c>
      <c r="BR72" s="62"/>
      <c r="BS72" s="143"/>
      <c r="BT72" s="13">
        <f t="shared" si="37"/>
        <v>0</v>
      </c>
      <c r="BU72" s="62"/>
      <c r="BV72" s="143"/>
      <c r="BW72" s="13">
        <f>BT72+BU72-BV72</f>
        <v>0</v>
      </c>
      <c r="BX72" s="62"/>
      <c r="BY72" s="143"/>
      <c r="BZ72" s="13">
        <f t="shared" si="38"/>
        <v>0</v>
      </c>
      <c r="CA72" s="62"/>
      <c r="CB72" s="143"/>
      <c r="CC72" s="13">
        <f t="shared" si="39"/>
        <v>0</v>
      </c>
      <c r="CD72" s="62"/>
      <c r="CE72" s="143"/>
      <c r="CF72" s="13">
        <f t="shared" si="40"/>
        <v>0</v>
      </c>
      <c r="CG72" s="62"/>
      <c r="CH72" s="143"/>
      <c r="CI72" s="13">
        <f t="shared" si="46"/>
        <v>0</v>
      </c>
      <c r="CJ72" s="62"/>
      <c r="CK72" s="143"/>
      <c r="CL72" s="13">
        <f t="shared" si="47"/>
        <v>0</v>
      </c>
      <c r="CM72" s="62"/>
      <c r="CN72" s="143"/>
      <c r="CO72" s="13">
        <f t="shared" si="41"/>
        <v>0</v>
      </c>
      <c r="CP72" s="62"/>
      <c r="CQ72" s="143"/>
      <c r="CR72" s="13">
        <f t="shared" si="48"/>
        <v>0</v>
      </c>
      <c r="CS72" s="62"/>
      <c r="CT72" s="143"/>
      <c r="CU72" s="14">
        <f t="shared" si="42"/>
        <v>0</v>
      </c>
      <c r="CV72" s="46">
        <f t="shared" si="43"/>
        <v>0</v>
      </c>
      <c r="CW72" s="4">
        <f t="shared" si="43"/>
        <v>0</v>
      </c>
      <c r="CX72" s="45">
        <f t="shared" si="44"/>
        <v>0</v>
      </c>
      <c r="CY72" s="162">
        <v>0</v>
      </c>
      <c r="CZ72" s="171">
        <f t="shared" si="45"/>
        <v>0</v>
      </c>
      <c r="DB72" s="2">
        <f t="shared" si="49"/>
        <v>0</v>
      </c>
      <c r="DC72" s="62"/>
      <c r="DD72" s="143"/>
      <c r="DE72" s="149">
        <f t="shared" si="50"/>
        <v>0</v>
      </c>
    </row>
    <row r="73" spans="1:109" ht="16.5" customHeight="1">
      <c r="A73" s="103"/>
      <c r="B73" s="3" t="s">
        <v>115</v>
      </c>
      <c r="C73" s="104" t="s">
        <v>21</v>
      </c>
      <c r="D73" s="34"/>
      <c r="E73" s="34" t="s">
        <v>114</v>
      </c>
      <c r="F73" s="14">
        <v>0</v>
      </c>
      <c r="G73" s="62"/>
      <c r="H73" s="143"/>
      <c r="I73" s="13">
        <f t="shared" ref="I73:I76" si="51">F73+G73-H73</f>
        <v>0</v>
      </c>
      <c r="J73" s="62"/>
      <c r="K73" s="143"/>
      <c r="L73" s="13">
        <f t="shared" ref="L73:L77" si="52">I73+J73-K73</f>
        <v>0</v>
      </c>
      <c r="M73" s="62"/>
      <c r="N73" s="143"/>
      <c r="O73" s="13">
        <f t="shared" ref="O73:O77" si="53">L73+M73-N73</f>
        <v>0</v>
      </c>
      <c r="P73" s="62"/>
      <c r="Q73" s="143"/>
      <c r="R73" s="30">
        <f t="shared" ref="R73:R77" si="54">O73+P73-Q73</f>
        <v>0</v>
      </c>
      <c r="S73" s="61"/>
      <c r="T73" s="143"/>
      <c r="U73" s="13">
        <f t="shared" ref="U73:U76" si="55">R73+S73-T73</f>
        <v>0</v>
      </c>
      <c r="V73" s="62"/>
      <c r="W73" s="143"/>
      <c r="X73" s="13">
        <f t="shared" ref="X73:X77" si="56">U73+V73-W73</f>
        <v>0</v>
      </c>
      <c r="Y73" s="62"/>
      <c r="Z73" s="143"/>
      <c r="AA73" s="13">
        <f t="shared" ref="AA73:AA93" si="57">X73+Y73-Z73</f>
        <v>0</v>
      </c>
      <c r="AB73" s="62"/>
      <c r="AC73" s="143"/>
      <c r="AD73" s="13">
        <f t="shared" ref="AD73:AD77" si="58">AA73+AB73-AC73</f>
        <v>0</v>
      </c>
      <c r="AE73" s="62"/>
      <c r="AF73" s="143"/>
      <c r="AG73" s="13">
        <f t="shared" ref="AG73:AG77" si="59">AD73+AE73-AF73</f>
        <v>0</v>
      </c>
      <c r="AH73" s="62"/>
      <c r="AI73" s="143"/>
      <c r="AJ73" s="13">
        <f t="shared" ref="AJ73:AJ77" si="60">AG73+AH73-AI73</f>
        <v>0</v>
      </c>
      <c r="AK73" s="62"/>
      <c r="AL73" s="143"/>
      <c r="AM73" s="13">
        <f t="shared" ref="AM73:AM77" si="61">AJ73+AK73-AL73</f>
        <v>0</v>
      </c>
      <c r="AN73" s="62"/>
      <c r="AO73" s="143"/>
      <c r="AP73" s="13">
        <f t="shared" ref="AP73:AP77" si="62">AM73+AN73-AO73</f>
        <v>0</v>
      </c>
      <c r="AQ73" s="62"/>
      <c r="AR73" s="143"/>
      <c r="AS73" s="13">
        <f t="shared" ref="AS73:AS77" si="63">AP73+AQ73-AR73</f>
        <v>0</v>
      </c>
      <c r="AT73" s="62"/>
      <c r="AU73" s="143"/>
      <c r="AV73" s="13">
        <f t="shared" ref="AV73:AV77" si="64">AS73+AT73-AU73</f>
        <v>0</v>
      </c>
      <c r="AW73" s="62"/>
      <c r="AX73" s="143"/>
      <c r="AY73" s="13">
        <f t="shared" ref="AY73:AY77" si="65">AV73+AW73-AX73</f>
        <v>0</v>
      </c>
      <c r="AZ73" s="62"/>
      <c r="BA73" s="143"/>
      <c r="BB73" s="13">
        <f t="shared" ref="BB73:BB77" si="66">AY73+AZ73-BA73</f>
        <v>0</v>
      </c>
      <c r="BC73" s="62"/>
      <c r="BD73" s="143"/>
      <c r="BE73" s="13">
        <f t="shared" ref="BE73:BE77" si="67">BB73+BC73-BD73</f>
        <v>0</v>
      </c>
      <c r="BF73" s="62"/>
      <c r="BG73" s="143"/>
      <c r="BH73" s="13">
        <f t="shared" ref="BH73:BH77" si="68">BE73+BF73-BG73</f>
        <v>0</v>
      </c>
      <c r="BI73" s="184"/>
      <c r="BJ73" s="143"/>
      <c r="BK73" s="13">
        <f t="shared" ref="BK73:BK77" si="69">BH73+BI73-BJ73</f>
        <v>0</v>
      </c>
      <c r="BL73" s="62"/>
      <c r="BM73" s="143"/>
      <c r="BN73" s="13">
        <f t="shared" ref="BN73:BN77" si="70">BK73+BL73-BM73</f>
        <v>0</v>
      </c>
      <c r="BO73" s="62"/>
      <c r="BP73" s="143"/>
      <c r="BQ73" s="13">
        <f t="shared" ref="BQ73:BQ77" si="71">BN73+BO73-BP73</f>
        <v>0</v>
      </c>
      <c r="BR73" s="62"/>
      <c r="BS73" s="143"/>
      <c r="BT73" s="13">
        <f t="shared" si="37"/>
        <v>0</v>
      </c>
      <c r="BU73" s="62"/>
      <c r="BV73" s="143"/>
      <c r="BW73" s="13">
        <f t="shared" ref="BW73:BW77" si="72">BT73+BU73-BV73</f>
        <v>0</v>
      </c>
      <c r="BX73" s="62"/>
      <c r="BY73" s="143"/>
      <c r="BZ73" s="13">
        <f t="shared" si="38"/>
        <v>0</v>
      </c>
      <c r="CA73" s="62"/>
      <c r="CB73" s="143"/>
      <c r="CC73" s="13">
        <f t="shared" si="39"/>
        <v>0</v>
      </c>
      <c r="CD73" s="62"/>
      <c r="CE73" s="143"/>
      <c r="CF73" s="13">
        <f t="shared" si="40"/>
        <v>0</v>
      </c>
      <c r="CG73" s="62"/>
      <c r="CH73" s="143"/>
      <c r="CI73" s="13">
        <f t="shared" si="46"/>
        <v>0</v>
      </c>
      <c r="CJ73" s="62"/>
      <c r="CK73" s="143"/>
      <c r="CL73" s="13">
        <f t="shared" si="47"/>
        <v>0</v>
      </c>
      <c r="CM73" s="62"/>
      <c r="CN73" s="143"/>
      <c r="CO73" s="13">
        <f t="shared" si="41"/>
        <v>0</v>
      </c>
      <c r="CP73" s="62"/>
      <c r="CQ73" s="143"/>
      <c r="CR73" s="13">
        <f t="shared" si="48"/>
        <v>0</v>
      </c>
      <c r="CS73" s="62"/>
      <c r="CT73" s="143"/>
      <c r="CU73" s="14">
        <f t="shared" si="42"/>
        <v>0</v>
      </c>
      <c r="CV73" s="5">
        <f t="shared" si="43"/>
        <v>0</v>
      </c>
      <c r="CW73" s="4">
        <f t="shared" si="43"/>
        <v>0</v>
      </c>
      <c r="CX73" s="6">
        <f t="shared" si="44"/>
        <v>0</v>
      </c>
      <c r="CY73" s="162">
        <v>0</v>
      </c>
      <c r="CZ73" s="171">
        <f t="shared" si="45"/>
        <v>0</v>
      </c>
      <c r="DB73" s="2">
        <f t="shared" si="49"/>
        <v>0</v>
      </c>
      <c r="DC73" s="62"/>
      <c r="DD73" s="143"/>
      <c r="DE73" s="149">
        <f t="shared" si="50"/>
        <v>0</v>
      </c>
    </row>
    <row r="74" spans="1:109" ht="15.75" customHeight="1">
      <c r="A74" s="33"/>
      <c r="B74" s="3" t="s">
        <v>265</v>
      </c>
      <c r="C74" s="104" t="s">
        <v>21</v>
      </c>
      <c r="D74" s="34"/>
      <c r="E74" s="34" t="s">
        <v>242</v>
      </c>
      <c r="F74" s="14">
        <v>89</v>
      </c>
      <c r="G74" s="62"/>
      <c r="H74" s="143"/>
      <c r="I74" s="13">
        <f t="shared" si="51"/>
        <v>89</v>
      </c>
      <c r="J74" s="62"/>
      <c r="K74" s="143"/>
      <c r="L74" s="13">
        <f t="shared" si="52"/>
        <v>89</v>
      </c>
      <c r="M74" s="62"/>
      <c r="N74" s="143"/>
      <c r="O74" s="13">
        <f t="shared" si="53"/>
        <v>89</v>
      </c>
      <c r="P74" s="62"/>
      <c r="Q74" s="143"/>
      <c r="R74" s="30">
        <f t="shared" si="54"/>
        <v>89</v>
      </c>
      <c r="S74" s="61"/>
      <c r="T74" s="143">
        <f>60</f>
        <v>60</v>
      </c>
      <c r="U74" s="13">
        <f t="shared" si="55"/>
        <v>29</v>
      </c>
      <c r="V74" s="62"/>
      <c r="W74" s="143"/>
      <c r="X74" s="13">
        <f t="shared" si="56"/>
        <v>29</v>
      </c>
      <c r="Y74" s="62">
        <v>20</v>
      </c>
      <c r="Z74" s="143">
        <v>34</v>
      </c>
      <c r="AA74" s="13">
        <f t="shared" si="57"/>
        <v>15</v>
      </c>
      <c r="AB74" s="62"/>
      <c r="AC74" s="143"/>
      <c r="AD74" s="13">
        <f t="shared" si="58"/>
        <v>15</v>
      </c>
      <c r="AE74" s="62"/>
      <c r="AF74" s="143"/>
      <c r="AG74" s="13">
        <f t="shared" si="59"/>
        <v>15</v>
      </c>
      <c r="AH74" s="62"/>
      <c r="AI74" s="143"/>
      <c r="AJ74" s="13">
        <f t="shared" si="60"/>
        <v>15</v>
      </c>
      <c r="AK74" s="62">
        <v>80</v>
      </c>
      <c r="AL74" s="143">
        <v>60</v>
      </c>
      <c r="AM74" s="13">
        <f t="shared" si="61"/>
        <v>35</v>
      </c>
      <c r="AN74" s="62"/>
      <c r="AO74" s="143"/>
      <c r="AP74" s="13">
        <f t="shared" si="62"/>
        <v>35</v>
      </c>
      <c r="AQ74" s="62"/>
      <c r="AR74" s="143"/>
      <c r="AS74" s="13">
        <f t="shared" si="63"/>
        <v>35</v>
      </c>
      <c r="AT74" s="62"/>
      <c r="AU74" s="143"/>
      <c r="AV74" s="13">
        <f t="shared" si="64"/>
        <v>35</v>
      </c>
      <c r="AW74" s="62"/>
      <c r="AX74" s="143"/>
      <c r="AY74" s="13">
        <f t="shared" si="65"/>
        <v>35</v>
      </c>
      <c r="AZ74" s="62">
        <v>80</v>
      </c>
      <c r="BA74" s="143">
        <f>30+35+10</f>
        <v>75</v>
      </c>
      <c r="BB74" s="13">
        <f t="shared" si="66"/>
        <v>40</v>
      </c>
      <c r="BC74" s="62"/>
      <c r="BD74" s="143"/>
      <c r="BE74" s="13">
        <f t="shared" si="67"/>
        <v>40</v>
      </c>
      <c r="BF74" s="62"/>
      <c r="BG74" s="143"/>
      <c r="BH74" s="13">
        <f t="shared" si="68"/>
        <v>40</v>
      </c>
      <c r="BI74" s="184"/>
      <c r="BJ74" s="143"/>
      <c r="BK74" s="13">
        <f t="shared" si="69"/>
        <v>40</v>
      </c>
      <c r="BL74" s="62"/>
      <c r="BM74" s="143"/>
      <c r="BN74" s="13">
        <f t="shared" si="70"/>
        <v>40</v>
      </c>
      <c r="BO74" s="62"/>
      <c r="BP74" s="143"/>
      <c r="BQ74" s="13">
        <f t="shared" si="71"/>
        <v>40</v>
      </c>
      <c r="BR74" s="62"/>
      <c r="BS74" s="143"/>
      <c r="BT74" s="13">
        <f t="shared" si="37"/>
        <v>40</v>
      </c>
      <c r="BU74" s="62"/>
      <c r="BV74" s="143"/>
      <c r="BW74" s="13">
        <f t="shared" si="72"/>
        <v>40</v>
      </c>
      <c r="BX74" s="62"/>
      <c r="BY74" s="143"/>
      <c r="BZ74" s="13">
        <f t="shared" si="38"/>
        <v>40</v>
      </c>
      <c r="CA74" s="62">
        <v>160</v>
      </c>
      <c r="CB74" s="143">
        <f>85+67+53</f>
        <v>205</v>
      </c>
      <c r="CC74" s="13">
        <f t="shared" si="39"/>
        <v>-5</v>
      </c>
      <c r="CD74" s="62"/>
      <c r="CE74" s="143"/>
      <c r="CF74" s="13">
        <f t="shared" si="40"/>
        <v>-5</v>
      </c>
      <c r="CG74" s="62">
        <f>92</f>
        <v>92</v>
      </c>
      <c r="CH74" s="143">
        <v>61</v>
      </c>
      <c r="CI74" s="13">
        <f t="shared" si="46"/>
        <v>26</v>
      </c>
      <c r="CJ74" s="62"/>
      <c r="CK74" s="143"/>
      <c r="CL74" s="13">
        <f t="shared" si="47"/>
        <v>26</v>
      </c>
      <c r="CM74" s="62"/>
      <c r="CN74" s="143"/>
      <c r="CO74" s="13">
        <f t="shared" si="41"/>
        <v>26</v>
      </c>
      <c r="CP74" s="62">
        <v>80</v>
      </c>
      <c r="CQ74" s="143">
        <v>65</v>
      </c>
      <c r="CR74" s="13">
        <f t="shared" si="48"/>
        <v>41</v>
      </c>
      <c r="CS74" s="62"/>
      <c r="CT74" s="143"/>
      <c r="CU74" s="14">
        <f t="shared" si="42"/>
        <v>41</v>
      </c>
      <c r="CV74" s="5">
        <f t="shared" si="43"/>
        <v>512</v>
      </c>
      <c r="CW74" s="4">
        <f t="shared" si="43"/>
        <v>560</v>
      </c>
      <c r="CX74" s="6">
        <f t="shared" si="44"/>
        <v>41</v>
      </c>
      <c r="CY74" s="162">
        <v>81</v>
      </c>
      <c r="CZ74" s="171">
        <f t="shared" si="45"/>
        <v>3321</v>
      </c>
      <c r="DB74" s="2">
        <f t="shared" si="49"/>
        <v>41</v>
      </c>
      <c r="DC74" s="62"/>
      <c r="DD74" s="143"/>
      <c r="DE74" s="149">
        <f t="shared" si="50"/>
        <v>41</v>
      </c>
    </row>
    <row r="75" spans="1:109" ht="15.75" customHeight="1">
      <c r="A75" s="33"/>
      <c r="B75" s="49" t="s">
        <v>116</v>
      </c>
      <c r="C75" s="108" t="s">
        <v>27</v>
      </c>
      <c r="D75" s="52" t="s">
        <v>181</v>
      </c>
      <c r="E75" s="52" t="s">
        <v>27</v>
      </c>
      <c r="F75" s="14">
        <v>0</v>
      </c>
      <c r="G75" s="62"/>
      <c r="H75" s="143"/>
      <c r="I75" s="13">
        <f t="shared" si="51"/>
        <v>0</v>
      </c>
      <c r="J75" s="62"/>
      <c r="K75" s="143"/>
      <c r="L75" s="13">
        <f t="shared" si="52"/>
        <v>0</v>
      </c>
      <c r="M75" s="62"/>
      <c r="N75" s="143"/>
      <c r="O75" s="13">
        <f t="shared" si="53"/>
        <v>0</v>
      </c>
      <c r="P75" s="62"/>
      <c r="Q75" s="143"/>
      <c r="R75" s="30">
        <f t="shared" si="54"/>
        <v>0</v>
      </c>
      <c r="S75" s="61"/>
      <c r="T75" s="143"/>
      <c r="U75" s="13">
        <f t="shared" si="55"/>
        <v>0</v>
      </c>
      <c r="V75" s="62"/>
      <c r="W75" s="143"/>
      <c r="X75" s="13">
        <f t="shared" si="56"/>
        <v>0</v>
      </c>
      <c r="Y75" s="62"/>
      <c r="Z75" s="143"/>
      <c r="AA75" s="13">
        <f t="shared" si="57"/>
        <v>0</v>
      </c>
      <c r="AB75" s="62"/>
      <c r="AC75" s="143"/>
      <c r="AD75" s="13">
        <f t="shared" si="58"/>
        <v>0</v>
      </c>
      <c r="AE75" s="62"/>
      <c r="AF75" s="143"/>
      <c r="AG75" s="13">
        <f t="shared" si="59"/>
        <v>0</v>
      </c>
      <c r="AH75" s="62"/>
      <c r="AI75" s="143"/>
      <c r="AJ75" s="13">
        <f t="shared" si="60"/>
        <v>0</v>
      </c>
      <c r="AK75" s="62"/>
      <c r="AL75" s="143"/>
      <c r="AM75" s="13">
        <f t="shared" si="61"/>
        <v>0</v>
      </c>
      <c r="AN75" s="62"/>
      <c r="AO75" s="143"/>
      <c r="AP75" s="13">
        <f t="shared" si="62"/>
        <v>0</v>
      </c>
      <c r="AQ75" s="62"/>
      <c r="AR75" s="143"/>
      <c r="AS75" s="13">
        <f t="shared" si="63"/>
        <v>0</v>
      </c>
      <c r="AT75" s="62"/>
      <c r="AU75" s="143"/>
      <c r="AV75" s="13">
        <f t="shared" si="64"/>
        <v>0</v>
      </c>
      <c r="AW75" s="62"/>
      <c r="AX75" s="143"/>
      <c r="AY75" s="13">
        <f t="shared" si="65"/>
        <v>0</v>
      </c>
      <c r="AZ75" s="62"/>
      <c r="BA75" s="143"/>
      <c r="BB75" s="13">
        <f t="shared" si="66"/>
        <v>0</v>
      </c>
      <c r="BC75" s="62"/>
      <c r="BD75" s="143"/>
      <c r="BE75" s="13">
        <f t="shared" si="67"/>
        <v>0</v>
      </c>
      <c r="BF75" s="62"/>
      <c r="BG75" s="143"/>
      <c r="BH75" s="13">
        <f t="shared" si="68"/>
        <v>0</v>
      </c>
      <c r="BI75" s="184"/>
      <c r="BJ75" s="143"/>
      <c r="BK75" s="13">
        <f t="shared" si="69"/>
        <v>0</v>
      </c>
      <c r="BL75" s="62"/>
      <c r="BM75" s="143"/>
      <c r="BN75" s="13">
        <f t="shared" si="70"/>
        <v>0</v>
      </c>
      <c r="BO75" s="62"/>
      <c r="BP75" s="143"/>
      <c r="BQ75" s="13">
        <f t="shared" si="71"/>
        <v>0</v>
      </c>
      <c r="BR75" s="62"/>
      <c r="BS75" s="143"/>
      <c r="BT75" s="13">
        <f t="shared" si="37"/>
        <v>0</v>
      </c>
      <c r="BU75" s="62"/>
      <c r="BV75" s="143"/>
      <c r="BW75" s="13">
        <f t="shared" si="72"/>
        <v>0</v>
      </c>
      <c r="BX75" s="62"/>
      <c r="BY75" s="143"/>
      <c r="BZ75" s="13">
        <f t="shared" si="38"/>
        <v>0</v>
      </c>
      <c r="CA75" s="62"/>
      <c r="CB75" s="143"/>
      <c r="CC75" s="13">
        <f t="shared" si="39"/>
        <v>0</v>
      </c>
      <c r="CD75" s="62"/>
      <c r="CE75" s="143"/>
      <c r="CF75" s="13">
        <f t="shared" si="40"/>
        <v>0</v>
      </c>
      <c r="CG75" s="62"/>
      <c r="CH75" s="143"/>
      <c r="CI75" s="13">
        <f t="shared" si="46"/>
        <v>0</v>
      </c>
      <c r="CJ75" s="62"/>
      <c r="CK75" s="143"/>
      <c r="CL75" s="13">
        <f t="shared" si="47"/>
        <v>0</v>
      </c>
      <c r="CM75" s="62"/>
      <c r="CN75" s="143"/>
      <c r="CO75" s="13">
        <f t="shared" si="41"/>
        <v>0</v>
      </c>
      <c r="CP75" s="62"/>
      <c r="CQ75" s="143"/>
      <c r="CR75" s="13">
        <f t="shared" si="48"/>
        <v>0</v>
      </c>
      <c r="CS75" s="62"/>
      <c r="CT75" s="143"/>
      <c r="CU75" s="14">
        <f t="shared" si="42"/>
        <v>0</v>
      </c>
      <c r="CV75" s="5">
        <f t="shared" si="43"/>
        <v>0</v>
      </c>
      <c r="CW75" s="4">
        <f t="shared" si="43"/>
        <v>0</v>
      </c>
      <c r="CX75" s="6">
        <f t="shared" si="44"/>
        <v>0</v>
      </c>
      <c r="CY75" s="162">
        <v>0</v>
      </c>
      <c r="CZ75" s="171">
        <f t="shared" si="45"/>
        <v>0</v>
      </c>
      <c r="DB75" s="2">
        <f t="shared" si="49"/>
        <v>0</v>
      </c>
      <c r="DC75" s="62"/>
      <c r="DD75" s="143"/>
      <c r="DE75" s="149">
        <f t="shared" si="50"/>
        <v>0</v>
      </c>
    </row>
    <row r="76" spans="1:109" ht="15.75" customHeight="1">
      <c r="A76" s="33"/>
      <c r="B76" s="3" t="s">
        <v>180</v>
      </c>
      <c r="C76" s="109" t="s">
        <v>32</v>
      </c>
      <c r="D76" s="34"/>
      <c r="E76" s="9" t="s">
        <v>27</v>
      </c>
      <c r="F76" s="14">
        <v>20</v>
      </c>
      <c r="G76" s="62"/>
      <c r="H76" s="143"/>
      <c r="I76" s="13">
        <f t="shared" si="51"/>
        <v>20</v>
      </c>
      <c r="J76" s="62">
        <v>20</v>
      </c>
      <c r="K76" s="143"/>
      <c r="L76" s="13">
        <f t="shared" si="52"/>
        <v>40</v>
      </c>
      <c r="M76" s="62">
        <v>60</v>
      </c>
      <c r="N76" s="143">
        <v>37</v>
      </c>
      <c r="O76" s="13">
        <f t="shared" si="53"/>
        <v>63</v>
      </c>
      <c r="P76" s="62"/>
      <c r="Q76" s="143">
        <f>4+56</f>
        <v>60</v>
      </c>
      <c r="R76" s="30">
        <f t="shared" si="54"/>
        <v>3</v>
      </c>
      <c r="S76" s="61">
        <v>4</v>
      </c>
      <c r="T76" s="143"/>
      <c r="U76" s="13">
        <f t="shared" si="55"/>
        <v>7</v>
      </c>
      <c r="V76" s="62">
        <v>4</v>
      </c>
      <c r="W76" s="143">
        <f>3+1</f>
        <v>4</v>
      </c>
      <c r="X76" s="13">
        <f t="shared" si="56"/>
        <v>7</v>
      </c>
      <c r="Y76" s="62">
        <f>-3+8</f>
        <v>5</v>
      </c>
      <c r="Z76" s="143">
        <f>5+2</f>
        <v>7</v>
      </c>
      <c r="AA76" s="13">
        <f t="shared" si="57"/>
        <v>5</v>
      </c>
      <c r="AB76" s="62"/>
      <c r="AC76" s="143"/>
      <c r="AD76" s="13">
        <f t="shared" si="58"/>
        <v>5</v>
      </c>
      <c r="AE76" s="62">
        <v>6</v>
      </c>
      <c r="AF76" s="143">
        <v>5</v>
      </c>
      <c r="AG76" s="13">
        <f t="shared" si="59"/>
        <v>6</v>
      </c>
      <c r="AH76" s="62">
        <v>8</v>
      </c>
      <c r="AI76" s="143">
        <v>2</v>
      </c>
      <c r="AJ76" s="13">
        <f t="shared" si="60"/>
        <v>12</v>
      </c>
      <c r="AK76" s="62">
        <f>-14+36</f>
        <v>22</v>
      </c>
      <c r="AL76" s="143">
        <f>5+7</f>
        <v>12</v>
      </c>
      <c r="AM76" s="13">
        <f t="shared" si="61"/>
        <v>22</v>
      </c>
      <c r="AN76" s="62"/>
      <c r="AO76" s="143"/>
      <c r="AP76" s="13">
        <f t="shared" si="62"/>
        <v>22</v>
      </c>
      <c r="AQ76" s="62"/>
      <c r="AR76" s="143">
        <v>12</v>
      </c>
      <c r="AS76" s="13">
        <f t="shared" si="63"/>
        <v>10</v>
      </c>
      <c r="AT76" s="62">
        <f>-15+20</f>
        <v>5</v>
      </c>
      <c r="AU76" s="143">
        <f>4+6</f>
        <v>10</v>
      </c>
      <c r="AV76" s="13">
        <f t="shared" si="64"/>
        <v>5</v>
      </c>
      <c r="AW76" s="62"/>
      <c r="AX76" s="143"/>
      <c r="AY76" s="13">
        <f t="shared" si="65"/>
        <v>5</v>
      </c>
      <c r="AZ76" s="62">
        <f>-17+24</f>
        <v>7</v>
      </c>
      <c r="BA76" s="143">
        <f>3+2</f>
        <v>5</v>
      </c>
      <c r="BB76" s="13">
        <f t="shared" si="66"/>
        <v>7</v>
      </c>
      <c r="BC76" s="62">
        <f>-13+24</f>
        <v>11</v>
      </c>
      <c r="BD76" s="143">
        <f>3+4</f>
        <v>7</v>
      </c>
      <c r="BE76" s="13">
        <f t="shared" si="67"/>
        <v>11</v>
      </c>
      <c r="BF76" s="62">
        <f>-26+32</f>
        <v>6</v>
      </c>
      <c r="BG76" s="143">
        <f>5+6</f>
        <v>11</v>
      </c>
      <c r="BH76" s="13">
        <f t="shared" si="68"/>
        <v>6</v>
      </c>
      <c r="BI76" s="184"/>
      <c r="BJ76" s="143"/>
      <c r="BK76" s="13">
        <f t="shared" si="69"/>
        <v>6</v>
      </c>
      <c r="BL76" s="62">
        <f>-12+24</f>
        <v>12</v>
      </c>
      <c r="BM76" s="143">
        <f>2+4</f>
        <v>6</v>
      </c>
      <c r="BN76" s="13">
        <f t="shared" si="70"/>
        <v>12</v>
      </c>
      <c r="BO76" s="62">
        <f>-13+20</f>
        <v>7</v>
      </c>
      <c r="BP76" s="143">
        <f>5+7</f>
        <v>12</v>
      </c>
      <c r="BQ76" s="13">
        <f t="shared" si="71"/>
        <v>7</v>
      </c>
      <c r="BR76" s="62"/>
      <c r="BS76" s="143"/>
      <c r="BT76" s="13">
        <f t="shared" si="37"/>
        <v>7</v>
      </c>
      <c r="BU76" s="62">
        <f>-8+12</f>
        <v>4</v>
      </c>
      <c r="BV76" s="143">
        <f>4+3</f>
        <v>7</v>
      </c>
      <c r="BW76" s="13">
        <f t="shared" si="72"/>
        <v>4</v>
      </c>
      <c r="BX76" s="62">
        <f>-10+24</f>
        <v>14</v>
      </c>
      <c r="BY76" s="143">
        <v>4</v>
      </c>
      <c r="BZ76" s="13">
        <f t="shared" si="38"/>
        <v>14</v>
      </c>
      <c r="CA76" s="62">
        <f>-30+40</f>
        <v>10</v>
      </c>
      <c r="CB76" s="143">
        <f>4+10</f>
        <v>14</v>
      </c>
      <c r="CC76" s="13">
        <f t="shared" si="39"/>
        <v>10</v>
      </c>
      <c r="CD76" s="62"/>
      <c r="CE76" s="143"/>
      <c r="CF76" s="13">
        <f t="shared" si="40"/>
        <v>10</v>
      </c>
      <c r="CG76" s="62">
        <f>-8+20</f>
        <v>12</v>
      </c>
      <c r="CH76" s="143">
        <f>3+7</f>
        <v>10</v>
      </c>
      <c r="CI76" s="13">
        <f t="shared" si="46"/>
        <v>12</v>
      </c>
      <c r="CJ76" s="62">
        <f>-19+24</f>
        <v>5</v>
      </c>
      <c r="CK76" s="143">
        <f>4+8</f>
        <v>12</v>
      </c>
      <c r="CL76" s="13">
        <f t="shared" si="47"/>
        <v>5</v>
      </c>
      <c r="CM76" s="62"/>
      <c r="CN76" s="143"/>
      <c r="CO76" s="13">
        <f t="shared" si="41"/>
        <v>5</v>
      </c>
      <c r="CP76" s="62">
        <f>-8+12</f>
        <v>4</v>
      </c>
      <c r="CQ76" s="143">
        <f>2+3</f>
        <v>5</v>
      </c>
      <c r="CR76" s="13">
        <f t="shared" si="48"/>
        <v>4</v>
      </c>
      <c r="CS76" s="62">
        <f>-12+20</f>
        <v>8</v>
      </c>
      <c r="CT76" s="143">
        <f>3+1</f>
        <v>4</v>
      </c>
      <c r="CU76" s="14">
        <f t="shared" si="42"/>
        <v>8</v>
      </c>
      <c r="CV76" s="5">
        <f t="shared" si="43"/>
        <v>234</v>
      </c>
      <c r="CW76" s="4">
        <f t="shared" si="43"/>
        <v>246</v>
      </c>
      <c r="CX76" s="6">
        <f t="shared" si="44"/>
        <v>8</v>
      </c>
      <c r="CY76" s="162">
        <v>500</v>
      </c>
      <c r="CZ76" s="171">
        <f t="shared" si="45"/>
        <v>4000</v>
      </c>
      <c r="DB76" s="2">
        <f t="shared" si="49"/>
        <v>8</v>
      </c>
      <c r="DC76" s="62"/>
      <c r="DD76" s="143"/>
      <c r="DE76" s="149">
        <f t="shared" si="50"/>
        <v>8</v>
      </c>
    </row>
    <row r="77" spans="1:109" ht="15.75" customHeight="1">
      <c r="A77" s="33"/>
      <c r="B77" s="3" t="s">
        <v>117</v>
      </c>
      <c r="C77" s="104" t="s">
        <v>25</v>
      </c>
      <c r="D77" s="34">
        <v>36</v>
      </c>
      <c r="E77" s="85"/>
      <c r="F77" s="14">
        <v>5</v>
      </c>
      <c r="G77" s="62"/>
      <c r="H77" s="143"/>
      <c r="I77" s="13">
        <f>F77+G77-H77</f>
        <v>5</v>
      </c>
      <c r="J77" s="62"/>
      <c r="K77" s="143"/>
      <c r="L77" s="13">
        <f t="shared" si="52"/>
        <v>5</v>
      </c>
      <c r="M77" s="62">
        <f>-5+4</f>
        <v>-1</v>
      </c>
      <c r="N77" s="143">
        <f>3+1</f>
        <v>4</v>
      </c>
      <c r="O77" s="13">
        <f t="shared" si="53"/>
        <v>0</v>
      </c>
      <c r="P77" s="62"/>
      <c r="Q77" s="143"/>
      <c r="R77" s="30">
        <f t="shared" si="54"/>
        <v>0</v>
      </c>
      <c r="S77" s="62"/>
      <c r="T77" s="143">
        <f>9+6+6+17+6</f>
        <v>44</v>
      </c>
      <c r="U77" s="13">
        <f>R77+S77-T77</f>
        <v>-44</v>
      </c>
      <c r="V77" s="62">
        <v>48</v>
      </c>
      <c r="W77" s="143">
        <f>9+7</f>
        <v>16</v>
      </c>
      <c r="X77" s="13">
        <f t="shared" si="56"/>
        <v>-12</v>
      </c>
      <c r="Y77" s="62">
        <v>36</v>
      </c>
      <c r="Z77" s="143">
        <f>9+6+4+9+1</f>
        <v>29</v>
      </c>
      <c r="AA77" s="13">
        <f t="shared" si="57"/>
        <v>-5</v>
      </c>
      <c r="AB77" s="62"/>
      <c r="AC77" s="143"/>
      <c r="AD77" s="13">
        <f t="shared" si="58"/>
        <v>-5</v>
      </c>
      <c r="AE77" s="62">
        <v>36</v>
      </c>
      <c r="AF77" s="143">
        <f>9+1+1</f>
        <v>11</v>
      </c>
      <c r="AG77" s="13">
        <f t="shared" si="59"/>
        <v>20</v>
      </c>
      <c r="AH77" s="62"/>
      <c r="AI77" s="143"/>
      <c r="AJ77" s="13">
        <f t="shared" si="60"/>
        <v>20</v>
      </c>
      <c r="AK77" s="62"/>
      <c r="AL77" s="143">
        <f>4+18+7</f>
        <v>29</v>
      </c>
      <c r="AM77" s="13">
        <f t="shared" si="61"/>
        <v>-9</v>
      </c>
      <c r="AN77" s="62"/>
      <c r="AO77" s="143"/>
      <c r="AP77" s="13">
        <f t="shared" si="62"/>
        <v>-9</v>
      </c>
      <c r="AQ77" s="62"/>
      <c r="AR77" s="143">
        <v>8</v>
      </c>
      <c r="AS77" s="13">
        <f t="shared" si="63"/>
        <v>-17</v>
      </c>
      <c r="AT77" s="62">
        <v>36</v>
      </c>
      <c r="AU77" s="143">
        <f>9+7+9+9</f>
        <v>34</v>
      </c>
      <c r="AV77" s="13">
        <f t="shared" si="64"/>
        <v>-15</v>
      </c>
      <c r="AW77" s="62"/>
      <c r="AX77" s="143"/>
      <c r="AY77" s="13">
        <f t="shared" si="65"/>
        <v>-15</v>
      </c>
      <c r="AZ77" s="62">
        <v>36</v>
      </c>
      <c r="BA77" s="143">
        <f>9+1</f>
        <v>10</v>
      </c>
      <c r="BB77" s="13">
        <f t="shared" si="66"/>
        <v>11</v>
      </c>
      <c r="BC77" s="62"/>
      <c r="BD77" s="143">
        <f>7</f>
        <v>7</v>
      </c>
      <c r="BE77" s="13">
        <f t="shared" si="67"/>
        <v>4</v>
      </c>
      <c r="BF77" s="62"/>
      <c r="BG77" s="143">
        <f>9+7+24</f>
        <v>40</v>
      </c>
      <c r="BH77" s="13">
        <f t="shared" si="68"/>
        <v>-36</v>
      </c>
      <c r="BI77" s="62"/>
      <c r="BJ77" s="143"/>
      <c r="BK77" s="13">
        <f t="shared" si="69"/>
        <v>-36</v>
      </c>
      <c r="BL77" s="62">
        <v>36</v>
      </c>
      <c r="BM77" s="143">
        <f>9+4</f>
        <v>13</v>
      </c>
      <c r="BN77" s="13">
        <f t="shared" si="70"/>
        <v>-13</v>
      </c>
      <c r="BO77" s="62">
        <v>36</v>
      </c>
      <c r="BP77" s="143">
        <f>9+1+4+9+7</f>
        <v>30</v>
      </c>
      <c r="BQ77" s="13">
        <f t="shared" si="71"/>
        <v>-7</v>
      </c>
      <c r="BR77" s="62"/>
      <c r="BS77" s="143"/>
      <c r="BT77" s="13">
        <f t="shared" si="37"/>
        <v>-7</v>
      </c>
      <c r="BU77" s="62">
        <v>36</v>
      </c>
      <c r="BV77" s="143">
        <f>9+1+1</f>
        <v>11</v>
      </c>
      <c r="BW77" s="13">
        <f t="shared" si="72"/>
        <v>18</v>
      </c>
      <c r="BX77" s="62"/>
      <c r="BY77" s="143">
        <v>8</v>
      </c>
      <c r="BZ77" s="13">
        <f t="shared" si="38"/>
        <v>10</v>
      </c>
      <c r="CA77" s="62"/>
      <c r="CB77" s="143">
        <f>8+13</f>
        <v>21</v>
      </c>
      <c r="CC77" s="13">
        <f t="shared" si="39"/>
        <v>-11</v>
      </c>
      <c r="CD77" s="62"/>
      <c r="CE77" s="143"/>
      <c r="CF77" s="13">
        <f t="shared" si="40"/>
        <v>-11</v>
      </c>
      <c r="CG77" s="62">
        <v>36</v>
      </c>
      <c r="CH77" s="143">
        <f>9+6</f>
        <v>15</v>
      </c>
      <c r="CI77" s="13">
        <f t="shared" si="46"/>
        <v>10</v>
      </c>
      <c r="CJ77" s="62"/>
      <c r="CK77" s="143">
        <f>2+9+7+9+7+14</f>
        <v>48</v>
      </c>
      <c r="CL77" s="13">
        <f t="shared" si="47"/>
        <v>-38</v>
      </c>
      <c r="CM77" s="62">
        <v>48</v>
      </c>
      <c r="CN77" s="143"/>
      <c r="CO77" s="13">
        <f t="shared" si="41"/>
        <v>10</v>
      </c>
      <c r="CP77" s="62"/>
      <c r="CQ77" s="143">
        <f>9+1</f>
        <v>10</v>
      </c>
      <c r="CR77" s="13">
        <f t="shared" si="48"/>
        <v>0</v>
      </c>
      <c r="CS77" s="62"/>
      <c r="CT77" s="143"/>
      <c r="CU77" s="14">
        <f t="shared" si="42"/>
        <v>0</v>
      </c>
      <c r="CV77" s="5">
        <f t="shared" si="43"/>
        <v>383</v>
      </c>
      <c r="CW77" s="4">
        <f t="shared" si="43"/>
        <v>388</v>
      </c>
      <c r="CX77" s="6">
        <f t="shared" si="44"/>
        <v>0</v>
      </c>
      <c r="CY77" s="162">
        <v>195</v>
      </c>
      <c r="CZ77" s="171">
        <f t="shared" si="45"/>
        <v>0</v>
      </c>
      <c r="DB77" s="2">
        <f t="shared" si="49"/>
        <v>0</v>
      </c>
      <c r="DC77" s="62"/>
      <c r="DD77" s="143">
        <f>7</f>
        <v>7</v>
      </c>
      <c r="DE77" s="149">
        <f t="shared" si="50"/>
        <v>-7</v>
      </c>
    </row>
    <row r="78" spans="1:109" ht="15.75" customHeight="1">
      <c r="A78" s="33"/>
      <c r="B78" s="56"/>
      <c r="C78" s="109"/>
      <c r="D78" s="34"/>
      <c r="E78" s="80"/>
      <c r="F78" s="14">
        <v>0</v>
      </c>
      <c r="G78" s="62"/>
      <c r="H78" s="143"/>
      <c r="I78" s="13">
        <f>F78+G78-H78</f>
        <v>0</v>
      </c>
      <c r="J78" s="62"/>
      <c r="K78" s="143"/>
      <c r="L78" s="13">
        <f>I78+J78-K78</f>
        <v>0</v>
      </c>
      <c r="M78" s="62"/>
      <c r="N78" s="143"/>
      <c r="O78" s="13">
        <f>L78+M78-N78</f>
        <v>0</v>
      </c>
      <c r="P78" s="62"/>
      <c r="Q78" s="143"/>
      <c r="R78" s="30">
        <f>O78+P78-Q78</f>
        <v>0</v>
      </c>
      <c r="S78" s="62"/>
      <c r="T78" s="143"/>
      <c r="U78" s="13">
        <f>R78+S78-T78</f>
        <v>0</v>
      </c>
      <c r="V78" s="62"/>
      <c r="W78" s="143"/>
      <c r="X78" s="13">
        <f>U78+V78-W78</f>
        <v>0</v>
      </c>
      <c r="Y78" s="62"/>
      <c r="Z78" s="143"/>
      <c r="AA78" s="13">
        <f>X78+Y78-Z78</f>
        <v>0</v>
      </c>
      <c r="AB78" s="62"/>
      <c r="AC78" s="143"/>
      <c r="AD78" s="13">
        <f>AA78+AB78-AC78</f>
        <v>0</v>
      </c>
      <c r="AE78" s="62"/>
      <c r="AF78" s="143"/>
      <c r="AG78" s="13">
        <f>AD78+AE78-AF78</f>
        <v>0</v>
      </c>
      <c r="AH78" s="62"/>
      <c r="AI78" s="143"/>
      <c r="AJ78" s="13">
        <f>AG78+AH78-AI78</f>
        <v>0</v>
      </c>
      <c r="AK78" s="62"/>
      <c r="AL78" s="143"/>
      <c r="AM78" s="13">
        <f>AJ78+AK78-AL78</f>
        <v>0</v>
      </c>
      <c r="AN78" s="62"/>
      <c r="AO78" s="143"/>
      <c r="AP78" s="13">
        <f>AM78+AN78-AO78</f>
        <v>0</v>
      </c>
      <c r="AQ78" s="62"/>
      <c r="AR78" s="143"/>
      <c r="AS78" s="13">
        <f>AP78+AQ78-AR78</f>
        <v>0</v>
      </c>
      <c r="AT78" s="62"/>
      <c r="AU78" s="143"/>
      <c r="AV78" s="13">
        <f>AS78+AT78-AU78</f>
        <v>0</v>
      </c>
      <c r="AW78" s="62"/>
      <c r="AX78" s="143"/>
      <c r="AY78" s="13">
        <f>AV78+AW78-AX78</f>
        <v>0</v>
      </c>
      <c r="AZ78" s="62"/>
      <c r="BA78" s="143"/>
      <c r="BB78" s="13">
        <f>AY78+AZ78-BA78</f>
        <v>0</v>
      </c>
      <c r="BC78" s="62"/>
      <c r="BD78" s="143"/>
      <c r="BE78" s="13">
        <f>BB78+BC78-BD78</f>
        <v>0</v>
      </c>
      <c r="BF78" s="62"/>
      <c r="BG78" s="143"/>
      <c r="BH78" s="13">
        <f>BE78+BF78-BG78</f>
        <v>0</v>
      </c>
      <c r="BI78" s="62"/>
      <c r="BJ78" s="143"/>
      <c r="BK78" s="13">
        <f>BH78+BI78-BJ78</f>
        <v>0</v>
      </c>
      <c r="BL78" s="62"/>
      <c r="BM78" s="143"/>
      <c r="BN78" s="13">
        <f>BK78+BL78-BM78</f>
        <v>0</v>
      </c>
      <c r="BO78" s="62"/>
      <c r="BP78" s="143"/>
      <c r="BQ78" s="13">
        <f>BN78+BO78-BP78</f>
        <v>0</v>
      </c>
      <c r="BR78" s="62"/>
      <c r="BS78" s="143"/>
      <c r="BT78" s="13">
        <f t="shared" si="37"/>
        <v>0</v>
      </c>
      <c r="BU78" s="62"/>
      <c r="BV78" s="143"/>
      <c r="BW78" s="13">
        <f>BT78+BU78-BV78</f>
        <v>0</v>
      </c>
      <c r="BX78" s="62"/>
      <c r="BY78" s="143"/>
      <c r="BZ78" s="13">
        <f t="shared" si="38"/>
        <v>0</v>
      </c>
      <c r="CA78" s="62"/>
      <c r="CB78" s="143"/>
      <c r="CC78" s="13">
        <f t="shared" si="39"/>
        <v>0</v>
      </c>
      <c r="CD78" s="62"/>
      <c r="CE78" s="143"/>
      <c r="CF78" s="13">
        <f t="shared" si="40"/>
        <v>0</v>
      </c>
      <c r="CG78" s="62"/>
      <c r="CH78" s="143"/>
      <c r="CI78" s="13">
        <f t="shared" si="46"/>
        <v>0</v>
      </c>
      <c r="CJ78" s="62"/>
      <c r="CK78" s="143"/>
      <c r="CL78" s="13">
        <f t="shared" si="47"/>
        <v>0</v>
      </c>
      <c r="CM78" s="62"/>
      <c r="CN78" s="143"/>
      <c r="CO78" s="13">
        <f t="shared" si="41"/>
        <v>0</v>
      </c>
      <c r="CP78" s="62"/>
      <c r="CQ78" s="143"/>
      <c r="CR78" s="13">
        <f t="shared" si="48"/>
        <v>0</v>
      </c>
      <c r="CS78" s="62"/>
      <c r="CT78" s="143"/>
      <c r="CU78" s="14">
        <f t="shared" si="42"/>
        <v>0</v>
      </c>
      <c r="CV78" s="5">
        <f t="shared" si="43"/>
        <v>0</v>
      </c>
      <c r="CW78" s="4">
        <f t="shared" si="43"/>
        <v>0</v>
      </c>
      <c r="CX78" s="6">
        <v>0</v>
      </c>
      <c r="CY78" s="162"/>
      <c r="CZ78" s="171">
        <f t="shared" si="45"/>
        <v>0</v>
      </c>
      <c r="DB78" s="2">
        <f t="shared" si="49"/>
        <v>0</v>
      </c>
      <c r="DC78" s="62"/>
      <c r="DD78" s="143"/>
      <c r="DE78" s="149">
        <f t="shared" si="50"/>
        <v>0</v>
      </c>
    </row>
    <row r="79" spans="1:109" ht="15.75" customHeight="1">
      <c r="A79" s="33"/>
      <c r="B79" s="3" t="s">
        <v>118</v>
      </c>
      <c r="C79" s="104" t="s">
        <v>27</v>
      </c>
      <c r="D79" s="37">
        <v>2</v>
      </c>
      <c r="E79" s="37">
        <v>6</v>
      </c>
      <c r="F79" s="14">
        <v>0</v>
      </c>
      <c r="G79" s="62"/>
      <c r="H79" s="143"/>
      <c r="I79" s="13">
        <f t="shared" ref="I79:I93" si="73">F79+G79-H79</f>
        <v>0</v>
      </c>
      <c r="J79" s="62"/>
      <c r="K79" s="143"/>
      <c r="L79" s="13">
        <f t="shared" ref="L79:L93" si="74">I79+J79-K79</f>
        <v>0</v>
      </c>
      <c r="M79" s="62"/>
      <c r="N79" s="143"/>
      <c r="O79" s="13">
        <f t="shared" ref="O79:O93" si="75">L79+M79-N79</f>
        <v>0</v>
      </c>
      <c r="P79" s="62"/>
      <c r="Q79" s="143"/>
      <c r="R79" s="30">
        <f t="shared" ref="R79:R93" si="76">O79+P79-Q79</f>
        <v>0</v>
      </c>
      <c r="S79" s="62"/>
      <c r="T79" s="143"/>
      <c r="U79" s="13">
        <f t="shared" ref="U79:U93" si="77">R79+S79-T79</f>
        <v>0</v>
      </c>
      <c r="V79" s="62"/>
      <c r="W79" s="143"/>
      <c r="X79" s="13">
        <f t="shared" ref="X79:X93" si="78">U79+V79-W79</f>
        <v>0</v>
      </c>
      <c r="Y79" s="62"/>
      <c r="Z79" s="143"/>
      <c r="AA79" s="13">
        <f t="shared" ref="AA79:AA83" si="79">X79+Y79-Z79</f>
        <v>0</v>
      </c>
      <c r="AB79" s="62"/>
      <c r="AC79" s="143"/>
      <c r="AD79" s="13">
        <f t="shared" ref="AD79:AD93" si="80">AA79+AB79-AC79</f>
        <v>0</v>
      </c>
      <c r="AE79" s="62"/>
      <c r="AF79" s="143"/>
      <c r="AG79" s="13">
        <f t="shared" ref="AG79:AG93" si="81">AD79+AE79-AF79</f>
        <v>0</v>
      </c>
      <c r="AH79" s="62"/>
      <c r="AI79" s="143"/>
      <c r="AJ79" s="13">
        <f t="shared" ref="AJ79:AJ93" si="82">AG79+AH79-AI79</f>
        <v>0</v>
      </c>
      <c r="AK79" s="62"/>
      <c r="AL79" s="143"/>
      <c r="AM79" s="13">
        <f t="shared" ref="AM79:AM93" si="83">AJ79+AK79-AL79</f>
        <v>0</v>
      </c>
      <c r="AN79" s="62"/>
      <c r="AO79" s="143"/>
      <c r="AP79" s="13">
        <f t="shared" ref="AP79:AP93" si="84">AM79+AN79-AO79</f>
        <v>0</v>
      </c>
      <c r="AQ79" s="62"/>
      <c r="AR79" s="143"/>
      <c r="AS79" s="13">
        <f t="shared" ref="AS79:AS93" si="85">AP79+AQ79-AR79</f>
        <v>0</v>
      </c>
      <c r="AT79" s="62"/>
      <c r="AU79" s="143"/>
      <c r="AV79" s="13">
        <f t="shared" ref="AV79:AV93" si="86">AS79+AT79-AU79</f>
        <v>0</v>
      </c>
      <c r="AW79" s="62"/>
      <c r="AX79" s="143"/>
      <c r="AY79" s="13">
        <f t="shared" ref="AY79:AY93" si="87">AV79+AW79-AX79</f>
        <v>0</v>
      </c>
      <c r="AZ79" s="62"/>
      <c r="BA79" s="143"/>
      <c r="BB79" s="13">
        <f t="shared" ref="BB79:BB93" si="88">AY79+AZ79-BA79</f>
        <v>0</v>
      </c>
      <c r="BC79" s="62"/>
      <c r="BD79" s="143"/>
      <c r="BE79" s="13">
        <f t="shared" ref="BE79:BE93" si="89">BB79+BC79-BD79</f>
        <v>0</v>
      </c>
      <c r="BF79" s="62"/>
      <c r="BG79" s="143"/>
      <c r="BH79" s="13">
        <f t="shared" ref="BH79:BH93" si="90">BE79+BF79-BG79</f>
        <v>0</v>
      </c>
      <c r="BI79" s="62"/>
      <c r="BJ79" s="143"/>
      <c r="BK79" s="13">
        <f t="shared" ref="BK79:BK93" si="91">BH79+BI79-BJ79</f>
        <v>0</v>
      </c>
      <c r="BL79" s="62"/>
      <c r="BM79" s="143"/>
      <c r="BN79" s="13">
        <f t="shared" ref="BN79:BN93" si="92">BK79+BL79-BM79</f>
        <v>0</v>
      </c>
      <c r="BO79" s="62"/>
      <c r="BP79" s="143"/>
      <c r="BQ79" s="13">
        <f t="shared" ref="BQ79:BQ93" si="93">BN79+BO79-BP79</f>
        <v>0</v>
      </c>
      <c r="BR79" s="62"/>
      <c r="BS79" s="143"/>
      <c r="BT79" s="13">
        <f t="shared" si="37"/>
        <v>0</v>
      </c>
      <c r="BU79" s="62"/>
      <c r="BV79" s="143"/>
      <c r="BW79" s="13">
        <f t="shared" ref="BW79:BW93" si="94">BT79+BU79-BV79</f>
        <v>0</v>
      </c>
      <c r="BX79" s="62"/>
      <c r="BY79" s="143"/>
      <c r="BZ79" s="13">
        <f t="shared" si="38"/>
        <v>0</v>
      </c>
      <c r="CA79" s="62"/>
      <c r="CB79" s="143"/>
      <c r="CC79" s="13">
        <f t="shared" si="39"/>
        <v>0</v>
      </c>
      <c r="CD79" s="62"/>
      <c r="CE79" s="143"/>
      <c r="CF79" s="13">
        <f t="shared" si="40"/>
        <v>0</v>
      </c>
      <c r="CG79" s="62"/>
      <c r="CH79" s="143"/>
      <c r="CI79" s="13">
        <f t="shared" si="46"/>
        <v>0</v>
      </c>
      <c r="CJ79" s="62">
        <v>6</v>
      </c>
      <c r="CK79" s="143"/>
      <c r="CL79" s="13">
        <f t="shared" si="47"/>
        <v>6</v>
      </c>
      <c r="CM79" s="62"/>
      <c r="CN79" s="143"/>
      <c r="CO79" s="13">
        <f t="shared" si="41"/>
        <v>6</v>
      </c>
      <c r="CP79" s="62"/>
      <c r="CQ79" s="143"/>
      <c r="CR79" s="13">
        <f t="shared" si="48"/>
        <v>6</v>
      </c>
      <c r="CS79" s="62"/>
      <c r="CT79" s="143"/>
      <c r="CU79" s="14">
        <f t="shared" si="42"/>
        <v>6</v>
      </c>
      <c r="CV79" s="5">
        <f t="shared" si="43"/>
        <v>6</v>
      </c>
      <c r="CW79" s="4">
        <f t="shared" si="43"/>
        <v>0</v>
      </c>
      <c r="CX79" s="6">
        <f t="shared" ref="CX79:CX93" si="95">CU79</f>
        <v>6</v>
      </c>
      <c r="CY79" s="162">
        <v>2850</v>
      </c>
      <c r="CZ79" s="171">
        <f t="shared" si="45"/>
        <v>17100</v>
      </c>
      <c r="DB79" s="2">
        <f t="shared" si="49"/>
        <v>6</v>
      </c>
      <c r="DC79" s="62"/>
      <c r="DD79" s="143"/>
      <c r="DE79" s="149">
        <f t="shared" si="50"/>
        <v>6</v>
      </c>
    </row>
    <row r="80" spans="1:109" ht="15.75" customHeight="1">
      <c r="A80" s="33"/>
      <c r="B80" s="3" t="s">
        <v>119</v>
      </c>
      <c r="C80" s="104" t="s">
        <v>27</v>
      </c>
      <c r="D80" s="37">
        <v>2</v>
      </c>
      <c r="E80" s="37">
        <v>6</v>
      </c>
      <c r="F80" s="14">
        <v>3</v>
      </c>
      <c r="G80" s="62"/>
      <c r="H80" s="143"/>
      <c r="I80" s="13">
        <f t="shared" si="73"/>
        <v>3</v>
      </c>
      <c r="J80" s="62"/>
      <c r="K80" s="143"/>
      <c r="L80" s="13">
        <f t="shared" si="74"/>
        <v>3</v>
      </c>
      <c r="M80" s="62"/>
      <c r="N80" s="143"/>
      <c r="O80" s="13">
        <f t="shared" si="75"/>
        <v>3</v>
      </c>
      <c r="P80" s="62"/>
      <c r="Q80" s="143"/>
      <c r="R80" s="30">
        <f t="shared" si="76"/>
        <v>3</v>
      </c>
      <c r="S80" s="62"/>
      <c r="T80" s="143"/>
      <c r="U80" s="13">
        <f t="shared" si="77"/>
        <v>3</v>
      </c>
      <c r="V80" s="62"/>
      <c r="W80" s="143"/>
      <c r="X80" s="30">
        <f t="shared" si="78"/>
        <v>3</v>
      </c>
      <c r="Y80" s="62">
        <v>12</v>
      </c>
      <c r="Z80" s="143"/>
      <c r="AA80" s="13">
        <f t="shared" si="79"/>
        <v>15</v>
      </c>
      <c r="AB80" s="62"/>
      <c r="AC80" s="143"/>
      <c r="AD80" s="13">
        <f t="shared" si="80"/>
        <v>15</v>
      </c>
      <c r="AE80" s="62"/>
      <c r="AF80" s="143">
        <f>1+4+3</f>
        <v>8</v>
      </c>
      <c r="AG80" s="13">
        <f t="shared" si="81"/>
        <v>7</v>
      </c>
      <c r="AH80" s="62"/>
      <c r="AI80" s="143"/>
      <c r="AJ80" s="13">
        <f t="shared" si="82"/>
        <v>7</v>
      </c>
      <c r="AK80" s="62"/>
      <c r="AL80" s="143"/>
      <c r="AM80" s="13">
        <f t="shared" si="83"/>
        <v>7</v>
      </c>
      <c r="AN80" s="62"/>
      <c r="AO80" s="143"/>
      <c r="AP80" s="13">
        <f t="shared" si="84"/>
        <v>7</v>
      </c>
      <c r="AQ80" s="62"/>
      <c r="AR80" s="143"/>
      <c r="AS80" s="13">
        <f t="shared" si="85"/>
        <v>7</v>
      </c>
      <c r="AT80" s="62">
        <v>6</v>
      </c>
      <c r="AU80" s="143"/>
      <c r="AV80" s="13">
        <f t="shared" si="86"/>
        <v>13</v>
      </c>
      <c r="AW80" s="62"/>
      <c r="AX80" s="143"/>
      <c r="AY80" s="13">
        <f t="shared" si="87"/>
        <v>13</v>
      </c>
      <c r="AZ80" s="62"/>
      <c r="BA80" s="143">
        <f>4+4+2</f>
        <v>10</v>
      </c>
      <c r="BB80" s="13">
        <f t="shared" si="88"/>
        <v>3</v>
      </c>
      <c r="BC80" s="62"/>
      <c r="BD80" s="143"/>
      <c r="BE80" s="13">
        <f t="shared" si="89"/>
        <v>3</v>
      </c>
      <c r="BF80" s="62"/>
      <c r="BG80" s="143"/>
      <c r="BH80" s="13">
        <f t="shared" si="90"/>
        <v>3</v>
      </c>
      <c r="BI80" s="62"/>
      <c r="BJ80" s="143"/>
      <c r="BK80" s="13">
        <f t="shared" si="91"/>
        <v>3</v>
      </c>
      <c r="BL80" s="62"/>
      <c r="BM80" s="143"/>
      <c r="BN80" s="13">
        <f t="shared" si="92"/>
        <v>3</v>
      </c>
      <c r="BO80" s="62">
        <v>12</v>
      </c>
      <c r="BP80" s="143"/>
      <c r="BQ80" s="13">
        <f t="shared" si="93"/>
        <v>15</v>
      </c>
      <c r="BR80" s="62"/>
      <c r="BS80" s="143"/>
      <c r="BT80" s="13">
        <f t="shared" si="37"/>
        <v>15</v>
      </c>
      <c r="BU80" s="62"/>
      <c r="BV80" s="143">
        <f>3+3+2</f>
        <v>8</v>
      </c>
      <c r="BW80" s="13">
        <f t="shared" si="94"/>
        <v>7</v>
      </c>
      <c r="BX80" s="62"/>
      <c r="BY80" s="143"/>
      <c r="BZ80" s="13">
        <f t="shared" si="38"/>
        <v>7</v>
      </c>
      <c r="CA80" s="62"/>
      <c r="CB80" s="143"/>
      <c r="CC80" s="13">
        <f t="shared" si="39"/>
        <v>7</v>
      </c>
      <c r="CD80" s="62"/>
      <c r="CE80" s="143"/>
      <c r="CF80" s="13">
        <f t="shared" si="40"/>
        <v>7</v>
      </c>
      <c r="CG80" s="62"/>
      <c r="CH80" s="143"/>
      <c r="CI80" s="13">
        <f t="shared" si="46"/>
        <v>7</v>
      </c>
      <c r="CJ80" s="62"/>
      <c r="CK80" s="143"/>
      <c r="CL80" s="13">
        <f t="shared" si="47"/>
        <v>7</v>
      </c>
      <c r="CM80" s="62"/>
      <c r="CN80" s="143"/>
      <c r="CO80" s="13">
        <f t="shared" si="41"/>
        <v>7</v>
      </c>
      <c r="CP80" s="62">
        <v>6</v>
      </c>
      <c r="CQ80" s="143">
        <f>3+3</f>
        <v>6</v>
      </c>
      <c r="CR80" s="13">
        <f t="shared" si="48"/>
        <v>7</v>
      </c>
      <c r="CS80" s="62"/>
      <c r="CT80" s="143"/>
      <c r="CU80" s="14">
        <f t="shared" si="42"/>
        <v>7</v>
      </c>
      <c r="CV80" s="5">
        <f t="shared" si="43"/>
        <v>36</v>
      </c>
      <c r="CW80" s="4">
        <f t="shared" si="43"/>
        <v>32</v>
      </c>
      <c r="CX80" s="6">
        <f t="shared" si="95"/>
        <v>7</v>
      </c>
      <c r="CY80" s="162">
        <v>2850</v>
      </c>
      <c r="CZ80" s="171">
        <f t="shared" si="45"/>
        <v>19950</v>
      </c>
      <c r="DB80" s="2">
        <f t="shared" si="49"/>
        <v>7</v>
      </c>
      <c r="DC80" s="62"/>
      <c r="DD80" s="143">
        <v>4</v>
      </c>
      <c r="DE80" s="149">
        <f t="shared" si="50"/>
        <v>3</v>
      </c>
    </row>
    <row r="81" spans="1:109" ht="15.75" customHeight="1">
      <c r="A81" s="33"/>
      <c r="B81" s="42" t="s">
        <v>126</v>
      </c>
      <c r="C81" s="112" t="s">
        <v>51</v>
      </c>
      <c r="D81" s="43"/>
      <c r="E81" s="34"/>
      <c r="F81" s="14">
        <v>36</v>
      </c>
      <c r="G81" s="62"/>
      <c r="H81" s="143"/>
      <c r="I81" s="13">
        <f t="shared" si="73"/>
        <v>36</v>
      </c>
      <c r="J81" s="62"/>
      <c r="K81" s="143"/>
      <c r="L81" s="13">
        <f t="shared" si="74"/>
        <v>36</v>
      </c>
      <c r="M81" s="62"/>
      <c r="N81" s="143">
        <v>8</v>
      </c>
      <c r="O81" s="13">
        <f t="shared" si="75"/>
        <v>28</v>
      </c>
      <c r="P81" s="62"/>
      <c r="Q81" s="143">
        <f>-1+9</f>
        <v>8</v>
      </c>
      <c r="R81" s="13">
        <f t="shared" si="76"/>
        <v>20</v>
      </c>
      <c r="S81" s="62"/>
      <c r="T81" s="143"/>
      <c r="U81" s="13">
        <f t="shared" si="77"/>
        <v>20</v>
      </c>
      <c r="V81" s="62"/>
      <c r="W81" s="143">
        <v>7</v>
      </c>
      <c r="X81" s="13">
        <f t="shared" si="78"/>
        <v>13</v>
      </c>
      <c r="Y81" s="62"/>
      <c r="Z81" s="143">
        <v>3</v>
      </c>
      <c r="AA81" s="13">
        <f t="shared" si="79"/>
        <v>10</v>
      </c>
      <c r="AB81" s="62"/>
      <c r="AC81" s="143"/>
      <c r="AD81" s="13">
        <f t="shared" si="80"/>
        <v>10</v>
      </c>
      <c r="AE81" s="62">
        <v>28</v>
      </c>
      <c r="AF81" s="143">
        <v>3</v>
      </c>
      <c r="AG81" s="13">
        <f t="shared" si="81"/>
        <v>35</v>
      </c>
      <c r="AH81" s="62"/>
      <c r="AI81" s="143">
        <v>1</v>
      </c>
      <c r="AJ81" s="13">
        <f t="shared" si="82"/>
        <v>34</v>
      </c>
      <c r="AK81" s="62"/>
      <c r="AL81" s="143">
        <v>7</v>
      </c>
      <c r="AM81" s="13">
        <f t="shared" si="83"/>
        <v>27</v>
      </c>
      <c r="AN81" s="62"/>
      <c r="AO81" s="143"/>
      <c r="AP81" s="13">
        <f t="shared" si="84"/>
        <v>27</v>
      </c>
      <c r="AQ81" s="62"/>
      <c r="AR81" s="143">
        <v>4</v>
      </c>
      <c r="AS81" s="13">
        <f t="shared" si="85"/>
        <v>23</v>
      </c>
      <c r="AT81" s="62"/>
      <c r="AU81" s="143">
        <v>7</v>
      </c>
      <c r="AV81" s="13">
        <f t="shared" si="86"/>
        <v>16</v>
      </c>
      <c r="AW81" s="62"/>
      <c r="AX81" s="143"/>
      <c r="AY81" s="13">
        <f t="shared" si="87"/>
        <v>16</v>
      </c>
      <c r="AZ81" s="62">
        <v>28</v>
      </c>
      <c r="BA81" s="143">
        <v>2</v>
      </c>
      <c r="BB81" s="13">
        <f t="shared" si="88"/>
        <v>42</v>
      </c>
      <c r="BC81" s="62"/>
      <c r="BD81" s="143">
        <v>3</v>
      </c>
      <c r="BE81" s="13">
        <f t="shared" si="89"/>
        <v>39</v>
      </c>
      <c r="BF81" s="62"/>
      <c r="BG81" s="143">
        <v>6</v>
      </c>
      <c r="BH81" s="13">
        <f t="shared" si="90"/>
        <v>33</v>
      </c>
      <c r="BI81" s="62"/>
      <c r="BJ81" s="143"/>
      <c r="BK81" s="13">
        <f t="shared" si="91"/>
        <v>33</v>
      </c>
      <c r="BL81" s="62"/>
      <c r="BM81" s="143">
        <v>4</v>
      </c>
      <c r="BN81" s="13">
        <f t="shared" si="92"/>
        <v>29</v>
      </c>
      <c r="BO81" s="62"/>
      <c r="BP81" s="143">
        <v>4</v>
      </c>
      <c r="BQ81" s="13">
        <f t="shared" si="93"/>
        <v>25</v>
      </c>
      <c r="BR81" s="62"/>
      <c r="BS81" s="143"/>
      <c r="BT81" s="13">
        <f t="shared" si="37"/>
        <v>25</v>
      </c>
      <c r="BU81" s="62">
        <v>28</v>
      </c>
      <c r="BV81" s="143">
        <v>6</v>
      </c>
      <c r="BW81" s="13">
        <f t="shared" si="94"/>
        <v>47</v>
      </c>
      <c r="BX81" s="62"/>
      <c r="BY81" s="143">
        <v>4</v>
      </c>
      <c r="BZ81" s="13">
        <f t="shared" si="38"/>
        <v>43</v>
      </c>
      <c r="CA81" s="62"/>
      <c r="CB81" s="143">
        <v>6</v>
      </c>
      <c r="CC81" s="13">
        <f t="shared" si="39"/>
        <v>37</v>
      </c>
      <c r="CD81" s="62"/>
      <c r="CE81" s="143"/>
      <c r="CF81" s="13">
        <f t="shared" si="40"/>
        <v>37</v>
      </c>
      <c r="CG81" s="62"/>
      <c r="CH81" s="143">
        <v>3</v>
      </c>
      <c r="CI81" s="13">
        <f t="shared" si="46"/>
        <v>34</v>
      </c>
      <c r="CJ81" s="62"/>
      <c r="CK81" s="143">
        <v>6</v>
      </c>
      <c r="CL81" s="13">
        <f t="shared" si="47"/>
        <v>28</v>
      </c>
      <c r="CM81" s="62"/>
      <c r="CN81" s="143"/>
      <c r="CO81" s="13">
        <f t="shared" si="41"/>
        <v>28</v>
      </c>
      <c r="CP81" s="62">
        <v>28</v>
      </c>
      <c r="CQ81" s="143">
        <v>4</v>
      </c>
      <c r="CR81" s="13">
        <f t="shared" si="48"/>
        <v>52</v>
      </c>
      <c r="CS81" s="62"/>
      <c r="CT81" s="143">
        <v>3</v>
      </c>
      <c r="CU81" s="14">
        <f t="shared" si="42"/>
        <v>49</v>
      </c>
      <c r="CV81" s="5">
        <f t="shared" si="43"/>
        <v>112</v>
      </c>
      <c r="CW81" s="4">
        <f t="shared" si="43"/>
        <v>99</v>
      </c>
      <c r="CX81" s="6">
        <f t="shared" si="95"/>
        <v>49</v>
      </c>
      <c r="CY81" s="162"/>
      <c r="CZ81" s="171">
        <f t="shared" si="45"/>
        <v>0</v>
      </c>
      <c r="DB81" s="2">
        <f t="shared" si="49"/>
        <v>49</v>
      </c>
      <c r="DC81" s="62"/>
      <c r="DD81" s="143"/>
      <c r="DE81" s="149">
        <f t="shared" si="50"/>
        <v>49</v>
      </c>
    </row>
    <row r="82" spans="1:109" ht="15.75" customHeight="1">
      <c r="A82" s="33" t="s">
        <v>120</v>
      </c>
      <c r="B82" s="49" t="s">
        <v>121</v>
      </c>
      <c r="C82" s="111" t="s">
        <v>27</v>
      </c>
      <c r="D82" s="52">
        <v>18</v>
      </c>
      <c r="E82" s="53" t="s">
        <v>122</v>
      </c>
      <c r="F82" s="14">
        <v>9</v>
      </c>
      <c r="G82" s="62"/>
      <c r="H82" s="143"/>
      <c r="I82" s="13">
        <f t="shared" si="73"/>
        <v>9</v>
      </c>
      <c r="J82" s="62"/>
      <c r="K82" s="143"/>
      <c r="L82" s="13">
        <f t="shared" si="74"/>
        <v>9</v>
      </c>
      <c r="M82" s="62"/>
      <c r="N82" s="143">
        <f>3</f>
        <v>3</v>
      </c>
      <c r="O82" s="13">
        <f t="shared" si="75"/>
        <v>6</v>
      </c>
      <c r="P82" s="62"/>
      <c r="Q82" s="143">
        <f>1</f>
        <v>1</v>
      </c>
      <c r="R82" s="30">
        <f t="shared" si="76"/>
        <v>5</v>
      </c>
      <c r="S82" s="62"/>
      <c r="T82" s="143"/>
      <c r="U82" s="13">
        <f t="shared" si="77"/>
        <v>5</v>
      </c>
      <c r="V82" s="62">
        <v>6</v>
      </c>
      <c r="W82" s="143"/>
      <c r="X82" s="13">
        <f t="shared" si="78"/>
        <v>11</v>
      </c>
      <c r="Y82" s="62"/>
      <c r="Z82" s="143"/>
      <c r="AA82" s="13">
        <f t="shared" si="79"/>
        <v>11</v>
      </c>
      <c r="AB82" s="62"/>
      <c r="AC82" s="143"/>
      <c r="AD82" s="13">
        <f t="shared" si="80"/>
        <v>11</v>
      </c>
      <c r="AE82" s="62"/>
      <c r="AF82" s="143">
        <v>2</v>
      </c>
      <c r="AG82" s="13">
        <f t="shared" si="81"/>
        <v>9</v>
      </c>
      <c r="AH82" s="62"/>
      <c r="AI82" s="143"/>
      <c r="AJ82" s="13">
        <f t="shared" si="82"/>
        <v>9</v>
      </c>
      <c r="AK82" s="62"/>
      <c r="AL82" s="143">
        <f>1</f>
        <v>1</v>
      </c>
      <c r="AM82" s="13">
        <f t="shared" si="83"/>
        <v>8</v>
      </c>
      <c r="AN82" s="62"/>
      <c r="AO82" s="143"/>
      <c r="AP82" s="13">
        <f t="shared" si="84"/>
        <v>8</v>
      </c>
      <c r="AQ82" s="62"/>
      <c r="AR82" s="143"/>
      <c r="AS82" s="13">
        <f t="shared" si="85"/>
        <v>8</v>
      </c>
      <c r="AT82" s="62"/>
      <c r="AU82" s="143"/>
      <c r="AV82" s="13">
        <f t="shared" si="86"/>
        <v>8</v>
      </c>
      <c r="AW82" s="62"/>
      <c r="AX82" s="143"/>
      <c r="AY82" s="13">
        <f t="shared" si="87"/>
        <v>8</v>
      </c>
      <c r="AZ82" s="62"/>
      <c r="BA82" s="143"/>
      <c r="BB82" s="13">
        <f t="shared" si="88"/>
        <v>8</v>
      </c>
      <c r="BC82" s="62"/>
      <c r="BD82" s="143"/>
      <c r="BE82" s="13">
        <f t="shared" si="89"/>
        <v>8</v>
      </c>
      <c r="BF82" s="62"/>
      <c r="BG82" s="143"/>
      <c r="BH82" s="13">
        <f t="shared" si="90"/>
        <v>8</v>
      </c>
      <c r="BI82" s="62"/>
      <c r="BJ82" s="143"/>
      <c r="BK82" s="13">
        <f t="shared" si="91"/>
        <v>8</v>
      </c>
      <c r="BL82" s="62"/>
      <c r="BM82" s="143"/>
      <c r="BN82" s="13">
        <f t="shared" si="92"/>
        <v>8</v>
      </c>
      <c r="BO82" s="62">
        <v>6</v>
      </c>
      <c r="BP82" s="143">
        <v>2</v>
      </c>
      <c r="BQ82" s="13">
        <f t="shared" si="93"/>
        <v>12</v>
      </c>
      <c r="BR82" s="62"/>
      <c r="BS82" s="143"/>
      <c r="BT82" s="13">
        <f t="shared" si="37"/>
        <v>12</v>
      </c>
      <c r="BU82" s="62"/>
      <c r="BV82" s="143">
        <v>1</v>
      </c>
      <c r="BW82" s="13">
        <f t="shared" si="94"/>
        <v>11</v>
      </c>
      <c r="BX82" s="62"/>
      <c r="BY82" s="143">
        <f>2+1</f>
        <v>3</v>
      </c>
      <c r="BZ82" s="13">
        <f t="shared" si="38"/>
        <v>8</v>
      </c>
      <c r="CA82" s="62">
        <v>6</v>
      </c>
      <c r="CB82" s="143">
        <v>3</v>
      </c>
      <c r="CC82" s="13">
        <f t="shared" si="39"/>
        <v>11</v>
      </c>
      <c r="CD82" s="62"/>
      <c r="CE82" s="143"/>
      <c r="CF82" s="13">
        <f t="shared" si="40"/>
        <v>11</v>
      </c>
      <c r="CG82" s="62"/>
      <c r="CH82" s="143">
        <v>2</v>
      </c>
      <c r="CI82" s="13">
        <f t="shared" si="46"/>
        <v>9</v>
      </c>
      <c r="CJ82" s="62"/>
      <c r="CK82" s="143"/>
      <c r="CL82" s="13">
        <f t="shared" si="47"/>
        <v>9</v>
      </c>
      <c r="CM82" s="62"/>
      <c r="CN82" s="143"/>
      <c r="CO82" s="13">
        <f t="shared" si="41"/>
        <v>9</v>
      </c>
      <c r="CP82" s="62"/>
      <c r="CQ82" s="143">
        <v>1</v>
      </c>
      <c r="CR82" s="13">
        <f t="shared" si="48"/>
        <v>8</v>
      </c>
      <c r="CS82" s="62"/>
      <c r="CT82" s="143">
        <v>2</v>
      </c>
      <c r="CU82" s="14">
        <f t="shared" si="42"/>
        <v>6</v>
      </c>
      <c r="CV82" s="129">
        <f t="shared" si="43"/>
        <v>18</v>
      </c>
      <c r="CW82" s="130">
        <f t="shared" si="43"/>
        <v>21</v>
      </c>
      <c r="CX82" s="131">
        <f t="shared" si="95"/>
        <v>6</v>
      </c>
      <c r="CY82" s="163">
        <v>0</v>
      </c>
      <c r="CZ82" s="172">
        <f t="shared" si="45"/>
        <v>0</v>
      </c>
      <c r="DB82" s="2">
        <f t="shared" si="49"/>
        <v>6</v>
      </c>
      <c r="DC82" s="62"/>
      <c r="DD82" s="143"/>
      <c r="DE82" s="149">
        <f t="shared" si="50"/>
        <v>6</v>
      </c>
    </row>
    <row r="83" spans="1:109" ht="15.75" customHeight="1">
      <c r="A83" s="33" t="s">
        <v>123</v>
      </c>
      <c r="B83" s="49" t="s">
        <v>124</v>
      </c>
      <c r="C83" s="111" t="s">
        <v>27</v>
      </c>
      <c r="D83" s="52">
        <v>168</v>
      </c>
      <c r="E83" s="53" t="s">
        <v>125</v>
      </c>
      <c r="F83" s="14">
        <v>24</v>
      </c>
      <c r="G83" s="62"/>
      <c r="H83" s="143"/>
      <c r="I83" s="13">
        <f t="shared" si="73"/>
        <v>24</v>
      </c>
      <c r="J83" s="62"/>
      <c r="K83" s="143"/>
      <c r="L83" s="13">
        <f t="shared" si="74"/>
        <v>24</v>
      </c>
      <c r="M83" s="62">
        <v>96</v>
      </c>
      <c r="N83" s="143">
        <v>35</v>
      </c>
      <c r="O83" s="13">
        <f t="shared" si="75"/>
        <v>85</v>
      </c>
      <c r="P83" s="62"/>
      <c r="Q83" s="143">
        <f>3+36</f>
        <v>39</v>
      </c>
      <c r="R83" s="30">
        <f t="shared" si="76"/>
        <v>46</v>
      </c>
      <c r="S83" s="62"/>
      <c r="T83" s="143"/>
      <c r="U83" s="13">
        <f t="shared" si="77"/>
        <v>46</v>
      </c>
      <c r="V83" s="62">
        <v>48</v>
      </c>
      <c r="W83" s="143">
        <f>2+15</f>
        <v>17</v>
      </c>
      <c r="X83" s="13">
        <f t="shared" si="78"/>
        <v>77</v>
      </c>
      <c r="Y83" s="62"/>
      <c r="Z83" s="143">
        <f>4+6</f>
        <v>10</v>
      </c>
      <c r="AA83" s="13">
        <f t="shared" si="79"/>
        <v>67</v>
      </c>
      <c r="AB83" s="62"/>
      <c r="AC83" s="143"/>
      <c r="AD83" s="13">
        <f t="shared" si="80"/>
        <v>67</v>
      </c>
      <c r="AE83" s="62"/>
      <c r="AF83" s="143">
        <f>2+10</f>
        <v>12</v>
      </c>
      <c r="AG83" s="13">
        <f t="shared" si="81"/>
        <v>55</v>
      </c>
      <c r="AH83" s="62">
        <v>24</v>
      </c>
      <c r="AI83" s="143">
        <v>5</v>
      </c>
      <c r="AJ83" s="13">
        <f t="shared" si="82"/>
        <v>74</v>
      </c>
      <c r="AK83" s="62"/>
      <c r="AL83" s="143">
        <f>3+22</f>
        <v>25</v>
      </c>
      <c r="AM83" s="13">
        <f t="shared" si="83"/>
        <v>49</v>
      </c>
      <c r="AN83" s="62"/>
      <c r="AO83" s="143"/>
      <c r="AP83" s="13">
        <f t="shared" si="84"/>
        <v>49</v>
      </c>
      <c r="AQ83" s="62"/>
      <c r="AR83" s="143">
        <f>6</f>
        <v>6</v>
      </c>
      <c r="AS83" s="13">
        <f t="shared" si="85"/>
        <v>43</v>
      </c>
      <c r="AT83" s="62"/>
      <c r="AU83" s="143">
        <f>4+9</f>
        <v>13</v>
      </c>
      <c r="AV83" s="13">
        <f t="shared" si="86"/>
        <v>30</v>
      </c>
      <c r="AW83" s="62"/>
      <c r="AX83" s="143"/>
      <c r="AY83" s="13">
        <f t="shared" si="87"/>
        <v>30</v>
      </c>
      <c r="AZ83" s="62">
        <v>96</v>
      </c>
      <c r="BA83" s="143">
        <f>3+15</f>
        <v>18</v>
      </c>
      <c r="BB83" s="13">
        <f t="shared" si="88"/>
        <v>108</v>
      </c>
      <c r="BC83" s="62"/>
      <c r="BD83" s="143">
        <f>2+21</f>
        <v>23</v>
      </c>
      <c r="BE83" s="13">
        <f t="shared" si="89"/>
        <v>85</v>
      </c>
      <c r="BF83" s="62"/>
      <c r="BG83" s="143">
        <f>3+17</f>
        <v>20</v>
      </c>
      <c r="BH83" s="13">
        <f t="shared" si="90"/>
        <v>65</v>
      </c>
      <c r="BI83" s="62"/>
      <c r="BJ83" s="143"/>
      <c r="BK83" s="13">
        <f t="shared" si="91"/>
        <v>65</v>
      </c>
      <c r="BL83" s="62"/>
      <c r="BM83" s="143">
        <f>2+9</f>
        <v>11</v>
      </c>
      <c r="BN83" s="13">
        <f t="shared" si="92"/>
        <v>54</v>
      </c>
      <c r="BO83" s="62">
        <v>48</v>
      </c>
      <c r="BP83" s="143">
        <f>3+14</f>
        <v>17</v>
      </c>
      <c r="BQ83" s="13">
        <f t="shared" si="93"/>
        <v>85</v>
      </c>
      <c r="BR83" s="62"/>
      <c r="BS83" s="143"/>
      <c r="BT83" s="13">
        <f t="shared" si="37"/>
        <v>85</v>
      </c>
      <c r="BU83" s="62"/>
      <c r="BV83" s="143">
        <v>23</v>
      </c>
      <c r="BW83" s="13">
        <f t="shared" si="94"/>
        <v>62</v>
      </c>
      <c r="BX83" s="62">
        <v>48</v>
      </c>
      <c r="BY83" s="143">
        <v>10</v>
      </c>
      <c r="BZ83" s="13">
        <f t="shared" si="38"/>
        <v>100</v>
      </c>
      <c r="CA83" s="62"/>
      <c r="CB83" s="143">
        <f>2+32</f>
        <v>34</v>
      </c>
      <c r="CC83" s="13">
        <f t="shared" si="39"/>
        <v>66</v>
      </c>
      <c r="CD83" s="62"/>
      <c r="CE83" s="143"/>
      <c r="CF83" s="13">
        <f t="shared" si="40"/>
        <v>66</v>
      </c>
      <c r="CG83" s="62"/>
      <c r="CH83" s="143">
        <f>2+19</f>
        <v>21</v>
      </c>
      <c r="CI83" s="13">
        <f t="shared" si="46"/>
        <v>45</v>
      </c>
      <c r="CJ83" s="62">
        <v>72</v>
      </c>
      <c r="CK83" s="143">
        <f>2+17</f>
        <v>19</v>
      </c>
      <c r="CL83" s="13">
        <f t="shared" si="47"/>
        <v>98</v>
      </c>
      <c r="CM83" s="62"/>
      <c r="CN83" s="143"/>
      <c r="CO83" s="13">
        <f t="shared" si="41"/>
        <v>98</v>
      </c>
      <c r="CP83" s="62"/>
      <c r="CQ83" s="143">
        <v>5</v>
      </c>
      <c r="CR83" s="13">
        <f t="shared" si="48"/>
        <v>93</v>
      </c>
      <c r="CS83" s="62"/>
      <c r="CT83" s="143">
        <f>2+10</f>
        <v>12</v>
      </c>
      <c r="CU83" s="14">
        <f t="shared" si="42"/>
        <v>81</v>
      </c>
      <c r="CV83" s="5">
        <f t="shared" si="43"/>
        <v>432</v>
      </c>
      <c r="CW83" s="4">
        <f t="shared" si="43"/>
        <v>375</v>
      </c>
      <c r="CX83" s="6">
        <f t="shared" si="95"/>
        <v>81</v>
      </c>
      <c r="CY83" s="164">
        <v>0</v>
      </c>
      <c r="CZ83" s="171">
        <f t="shared" si="45"/>
        <v>0</v>
      </c>
      <c r="DB83" s="2">
        <f t="shared" si="49"/>
        <v>81</v>
      </c>
      <c r="DC83" s="62"/>
      <c r="DD83" s="143"/>
      <c r="DE83" s="149">
        <f t="shared" si="50"/>
        <v>81</v>
      </c>
    </row>
    <row r="84" spans="1:109" ht="16.2">
      <c r="A84" s="135" t="s">
        <v>200</v>
      </c>
      <c r="B84" s="3" t="s">
        <v>254</v>
      </c>
      <c r="C84" s="104" t="s">
        <v>27</v>
      </c>
      <c r="D84" s="34">
        <v>15</v>
      </c>
      <c r="E84" s="9" t="s">
        <v>260</v>
      </c>
      <c r="F84" s="14">
        <v>0</v>
      </c>
      <c r="G84" s="143"/>
      <c r="H84" s="143"/>
      <c r="I84" s="13">
        <f t="shared" si="73"/>
        <v>0</v>
      </c>
      <c r="J84" s="143"/>
      <c r="K84" s="143"/>
      <c r="L84" s="13">
        <f t="shared" si="74"/>
        <v>0</v>
      </c>
      <c r="M84" s="143"/>
      <c r="N84" s="143"/>
      <c r="O84" s="13">
        <f t="shared" si="75"/>
        <v>0</v>
      </c>
      <c r="P84" s="143"/>
      <c r="Q84" s="143"/>
      <c r="R84" s="30">
        <f t="shared" si="76"/>
        <v>0</v>
      </c>
      <c r="S84" s="143"/>
      <c r="T84" s="143"/>
      <c r="U84" s="13">
        <f t="shared" si="77"/>
        <v>0</v>
      </c>
      <c r="V84" s="143"/>
      <c r="W84" s="143"/>
      <c r="X84" s="13">
        <f t="shared" si="78"/>
        <v>0</v>
      </c>
      <c r="Y84" s="143"/>
      <c r="Z84" s="143"/>
      <c r="AA84" s="13">
        <f t="shared" si="57"/>
        <v>0</v>
      </c>
      <c r="AB84" s="143"/>
      <c r="AC84" s="143"/>
      <c r="AD84" s="13">
        <f t="shared" si="80"/>
        <v>0</v>
      </c>
      <c r="AE84" s="143"/>
      <c r="AF84" s="143"/>
      <c r="AG84" s="13">
        <f t="shared" si="81"/>
        <v>0</v>
      </c>
      <c r="AH84" s="143"/>
      <c r="AI84" s="143"/>
      <c r="AJ84" s="13">
        <f t="shared" si="82"/>
        <v>0</v>
      </c>
      <c r="AK84" s="143"/>
      <c r="AL84" s="143"/>
      <c r="AM84" s="13">
        <f t="shared" si="83"/>
        <v>0</v>
      </c>
      <c r="AN84" s="143"/>
      <c r="AO84" s="143"/>
      <c r="AP84" s="13">
        <f t="shared" si="84"/>
        <v>0</v>
      </c>
      <c r="AQ84" s="143"/>
      <c r="AR84" s="143"/>
      <c r="AS84" s="13">
        <f t="shared" si="85"/>
        <v>0</v>
      </c>
      <c r="AT84" s="143"/>
      <c r="AU84" s="143"/>
      <c r="AV84" s="13">
        <f t="shared" si="86"/>
        <v>0</v>
      </c>
      <c r="AW84" s="143"/>
      <c r="AX84" s="143"/>
      <c r="AY84" s="13">
        <f t="shared" si="87"/>
        <v>0</v>
      </c>
      <c r="AZ84" s="143"/>
      <c r="BA84" s="143"/>
      <c r="BB84" s="13">
        <f t="shared" si="88"/>
        <v>0</v>
      </c>
      <c r="BC84" s="143"/>
      <c r="BD84" s="143"/>
      <c r="BE84" s="13">
        <f t="shared" si="89"/>
        <v>0</v>
      </c>
      <c r="BF84" s="143"/>
      <c r="BG84" s="143"/>
      <c r="BH84" s="13">
        <f t="shared" si="90"/>
        <v>0</v>
      </c>
      <c r="BI84" s="143"/>
      <c r="BJ84" s="143"/>
      <c r="BK84" s="13">
        <f t="shared" si="91"/>
        <v>0</v>
      </c>
      <c r="BL84" s="143"/>
      <c r="BM84" s="143"/>
      <c r="BN84" s="13">
        <f t="shared" si="92"/>
        <v>0</v>
      </c>
      <c r="BO84" s="143"/>
      <c r="BP84" s="143"/>
      <c r="BQ84" s="13">
        <f t="shared" si="93"/>
        <v>0</v>
      </c>
      <c r="BR84" s="143"/>
      <c r="BS84" s="143"/>
      <c r="BT84" s="13">
        <f t="shared" si="37"/>
        <v>0</v>
      </c>
      <c r="BU84" s="143"/>
      <c r="BV84" s="143"/>
      <c r="BW84" s="13">
        <f t="shared" si="94"/>
        <v>0</v>
      </c>
      <c r="BX84" s="143"/>
      <c r="BY84" s="143"/>
      <c r="BZ84" s="13">
        <f t="shared" si="38"/>
        <v>0</v>
      </c>
      <c r="CA84" s="143"/>
      <c r="CB84" s="143"/>
      <c r="CC84" s="13">
        <f t="shared" si="39"/>
        <v>0</v>
      </c>
      <c r="CD84" s="143"/>
      <c r="CE84" s="143"/>
      <c r="CF84" s="13">
        <f t="shared" si="40"/>
        <v>0</v>
      </c>
      <c r="CG84" s="143"/>
      <c r="CH84" s="143"/>
      <c r="CI84" s="13">
        <f t="shared" si="46"/>
        <v>0</v>
      </c>
      <c r="CJ84" s="143"/>
      <c r="CK84" s="143"/>
      <c r="CL84" s="13">
        <f t="shared" si="47"/>
        <v>0</v>
      </c>
      <c r="CM84" s="143"/>
      <c r="CN84" s="143"/>
      <c r="CO84" s="13">
        <f t="shared" si="41"/>
        <v>0</v>
      </c>
      <c r="CP84" s="143"/>
      <c r="CQ84" s="143"/>
      <c r="CR84" s="13">
        <f t="shared" si="48"/>
        <v>0</v>
      </c>
      <c r="CS84" s="62"/>
      <c r="CT84" s="143"/>
      <c r="CU84" s="14">
        <f t="shared" si="42"/>
        <v>0</v>
      </c>
      <c r="CV84" s="5">
        <f t="shared" si="43"/>
        <v>0</v>
      </c>
      <c r="CW84" s="4">
        <f t="shared" si="43"/>
        <v>0</v>
      </c>
      <c r="CX84" s="6">
        <f t="shared" si="95"/>
        <v>0</v>
      </c>
      <c r="CY84" s="165">
        <v>787</v>
      </c>
      <c r="CZ84" s="171">
        <f t="shared" si="45"/>
        <v>0</v>
      </c>
      <c r="DA84" s="48"/>
      <c r="DB84" s="2">
        <f t="shared" si="49"/>
        <v>0</v>
      </c>
      <c r="DC84" s="62"/>
      <c r="DD84" s="143"/>
      <c r="DE84" s="149">
        <f t="shared" si="50"/>
        <v>0</v>
      </c>
    </row>
    <row r="85" spans="1:109" ht="17.25" customHeight="1">
      <c r="A85" s="135" t="s">
        <v>261</v>
      </c>
      <c r="B85" s="3" t="s">
        <v>262</v>
      </c>
      <c r="C85" s="104" t="s">
        <v>27</v>
      </c>
      <c r="D85" s="34">
        <v>15</v>
      </c>
      <c r="E85" s="9" t="s">
        <v>260</v>
      </c>
      <c r="F85" s="14">
        <v>0</v>
      </c>
      <c r="G85" s="143"/>
      <c r="H85" s="143"/>
      <c r="I85" s="13">
        <f t="shared" si="73"/>
        <v>0</v>
      </c>
      <c r="J85" s="143"/>
      <c r="K85" s="143"/>
      <c r="L85" s="13">
        <f t="shared" si="74"/>
        <v>0</v>
      </c>
      <c r="M85" s="143"/>
      <c r="N85" s="143"/>
      <c r="O85" s="13">
        <f t="shared" si="75"/>
        <v>0</v>
      </c>
      <c r="P85" s="143"/>
      <c r="Q85" s="143"/>
      <c r="R85" s="30">
        <f t="shared" si="76"/>
        <v>0</v>
      </c>
      <c r="S85" s="143"/>
      <c r="T85" s="143"/>
      <c r="U85" s="13">
        <f t="shared" si="77"/>
        <v>0</v>
      </c>
      <c r="V85" s="143"/>
      <c r="W85" s="143"/>
      <c r="X85" s="13">
        <f t="shared" si="78"/>
        <v>0</v>
      </c>
      <c r="Y85" s="143"/>
      <c r="Z85" s="143"/>
      <c r="AA85" s="13">
        <f t="shared" si="57"/>
        <v>0</v>
      </c>
      <c r="AB85" s="143"/>
      <c r="AC85" s="143"/>
      <c r="AD85" s="13">
        <f t="shared" si="80"/>
        <v>0</v>
      </c>
      <c r="AE85" s="143"/>
      <c r="AF85" s="143"/>
      <c r="AG85" s="13">
        <f t="shared" si="81"/>
        <v>0</v>
      </c>
      <c r="AH85" s="143"/>
      <c r="AI85" s="143"/>
      <c r="AJ85" s="13">
        <f t="shared" si="82"/>
        <v>0</v>
      </c>
      <c r="AK85" s="143"/>
      <c r="AL85" s="143"/>
      <c r="AM85" s="13">
        <f t="shared" si="83"/>
        <v>0</v>
      </c>
      <c r="AN85" s="143"/>
      <c r="AO85" s="143"/>
      <c r="AP85" s="13">
        <f t="shared" si="84"/>
        <v>0</v>
      </c>
      <c r="AQ85" s="143"/>
      <c r="AR85" s="143"/>
      <c r="AS85" s="13">
        <f t="shared" si="85"/>
        <v>0</v>
      </c>
      <c r="AT85" s="143"/>
      <c r="AU85" s="143"/>
      <c r="AV85" s="13">
        <f t="shared" si="86"/>
        <v>0</v>
      </c>
      <c r="AW85" s="143"/>
      <c r="AX85" s="143"/>
      <c r="AY85" s="13">
        <f t="shared" si="87"/>
        <v>0</v>
      </c>
      <c r="AZ85" s="143"/>
      <c r="BA85" s="143"/>
      <c r="BB85" s="13">
        <f t="shared" si="88"/>
        <v>0</v>
      </c>
      <c r="BC85" s="143"/>
      <c r="BD85" s="143"/>
      <c r="BE85" s="13">
        <f t="shared" si="89"/>
        <v>0</v>
      </c>
      <c r="BF85" s="143"/>
      <c r="BG85" s="143"/>
      <c r="BH85" s="13">
        <f t="shared" si="90"/>
        <v>0</v>
      </c>
      <c r="BI85" s="143"/>
      <c r="BJ85" s="143"/>
      <c r="BK85" s="13">
        <f t="shared" si="91"/>
        <v>0</v>
      </c>
      <c r="BL85" s="143"/>
      <c r="BM85" s="143"/>
      <c r="BN85" s="13">
        <f t="shared" si="92"/>
        <v>0</v>
      </c>
      <c r="BO85" s="143"/>
      <c r="BP85" s="143"/>
      <c r="BQ85" s="13">
        <f t="shared" si="93"/>
        <v>0</v>
      </c>
      <c r="BR85" s="143"/>
      <c r="BS85" s="143"/>
      <c r="BT85" s="13">
        <f t="shared" si="37"/>
        <v>0</v>
      </c>
      <c r="BU85" s="143"/>
      <c r="BV85" s="143"/>
      <c r="BW85" s="13">
        <f t="shared" si="94"/>
        <v>0</v>
      </c>
      <c r="BX85" s="143"/>
      <c r="BY85" s="143"/>
      <c r="BZ85" s="13">
        <f t="shared" si="38"/>
        <v>0</v>
      </c>
      <c r="CA85" s="143"/>
      <c r="CB85" s="143"/>
      <c r="CC85" s="13">
        <f t="shared" si="39"/>
        <v>0</v>
      </c>
      <c r="CD85" s="143"/>
      <c r="CE85" s="143"/>
      <c r="CF85" s="13">
        <f t="shared" si="40"/>
        <v>0</v>
      </c>
      <c r="CG85" s="143"/>
      <c r="CH85" s="143"/>
      <c r="CI85" s="13">
        <f t="shared" si="46"/>
        <v>0</v>
      </c>
      <c r="CJ85" s="143"/>
      <c r="CK85" s="143"/>
      <c r="CL85" s="13">
        <f t="shared" si="47"/>
        <v>0</v>
      </c>
      <c r="CM85" s="143"/>
      <c r="CN85" s="143"/>
      <c r="CO85" s="13">
        <f t="shared" si="41"/>
        <v>0</v>
      </c>
      <c r="CP85" s="143"/>
      <c r="CQ85" s="143"/>
      <c r="CR85" s="13">
        <f t="shared" si="48"/>
        <v>0</v>
      </c>
      <c r="CS85" s="62"/>
      <c r="CT85" s="143"/>
      <c r="CU85" s="14">
        <f t="shared" si="42"/>
        <v>0</v>
      </c>
      <c r="CV85" s="5">
        <f t="shared" si="43"/>
        <v>0</v>
      </c>
      <c r="CW85" s="4">
        <f t="shared" si="43"/>
        <v>0</v>
      </c>
      <c r="CX85" s="6">
        <f t="shared" si="95"/>
        <v>0</v>
      </c>
      <c r="CY85" s="165">
        <v>787</v>
      </c>
      <c r="CZ85" s="171">
        <f t="shared" si="45"/>
        <v>0</v>
      </c>
      <c r="DA85" s="48"/>
      <c r="DB85" s="2">
        <f t="shared" si="49"/>
        <v>0</v>
      </c>
      <c r="DC85" s="62"/>
      <c r="DD85" s="143"/>
      <c r="DE85" s="149">
        <f t="shared" si="50"/>
        <v>0</v>
      </c>
    </row>
    <row r="86" spans="1:109" ht="15" customHeight="1">
      <c r="A86" s="33" t="s">
        <v>201</v>
      </c>
      <c r="B86" s="3" t="s">
        <v>190</v>
      </c>
      <c r="C86" s="104" t="s">
        <v>27</v>
      </c>
      <c r="D86" s="34">
        <v>60</v>
      </c>
      <c r="E86" s="9" t="s">
        <v>260</v>
      </c>
      <c r="F86" s="14">
        <v>0</v>
      </c>
      <c r="G86" s="143"/>
      <c r="H86" s="143"/>
      <c r="I86" s="13">
        <f t="shared" si="73"/>
        <v>0</v>
      </c>
      <c r="J86" s="143"/>
      <c r="K86" s="143"/>
      <c r="L86" s="13">
        <f t="shared" si="74"/>
        <v>0</v>
      </c>
      <c r="M86" s="143"/>
      <c r="N86" s="143"/>
      <c r="O86" s="13">
        <f t="shared" si="75"/>
        <v>0</v>
      </c>
      <c r="P86" s="143"/>
      <c r="Q86" s="143"/>
      <c r="R86" s="30">
        <f t="shared" si="76"/>
        <v>0</v>
      </c>
      <c r="S86" s="143"/>
      <c r="T86" s="143"/>
      <c r="U86" s="13">
        <f t="shared" si="77"/>
        <v>0</v>
      </c>
      <c r="V86" s="143"/>
      <c r="W86" s="143"/>
      <c r="X86" s="13">
        <f t="shared" si="78"/>
        <v>0</v>
      </c>
      <c r="Y86" s="143"/>
      <c r="Z86" s="143"/>
      <c r="AA86" s="13">
        <f t="shared" si="57"/>
        <v>0</v>
      </c>
      <c r="AB86" s="143"/>
      <c r="AC86" s="143"/>
      <c r="AD86" s="13">
        <f t="shared" si="80"/>
        <v>0</v>
      </c>
      <c r="AE86" s="143"/>
      <c r="AF86" s="143"/>
      <c r="AG86" s="13">
        <f t="shared" si="81"/>
        <v>0</v>
      </c>
      <c r="AH86" s="143"/>
      <c r="AI86" s="143"/>
      <c r="AJ86" s="13">
        <f t="shared" si="82"/>
        <v>0</v>
      </c>
      <c r="AK86" s="143"/>
      <c r="AL86" s="143"/>
      <c r="AM86" s="13">
        <f t="shared" si="83"/>
        <v>0</v>
      </c>
      <c r="AN86" s="143"/>
      <c r="AO86" s="143"/>
      <c r="AP86" s="13">
        <f t="shared" si="84"/>
        <v>0</v>
      </c>
      <c r="AQ86" s="143"/>
      <c r="AR86" s="143"/>
      <c r="AS86" s="13">
        <f t="shared" si="85"/>
        <v>0</v>
      </c>
      <c r="AT86" s="143"/>
      <c r="AU86" s="143"/>
      <c r="AV86" s="13">
        <f t="shared" si="86"/>
        <v>0</v>
      </c>
      <c r="AW86" s="143"/>
      <c r="AX86" s="143"/>
      <c r="AY86" s="13">
        <f t="shared" si="87"/>
        <v>0</v>
      </c>
      <c r="AZ86" s="143"/>
      <c r="BA86" s="143"/>
      <c r="BB86" s="13">
        <f t="shared" si="88"/>
        <v>0</v>
      </c>
      <c r="BC86" s="143"/>
      <c r="BD86" s="143"/>
      <c r="BE86" s="13">
        <f t="shared" si="89"/>
        <v>0</v>
      </c>
      <c r="BF86" s="143"/>
      <c r="BG86" s="143"/>
      <c r="BH86" s="13">
        <f t="shared" si="90"/>
        <v>0</v>
      </c>
      <c r="BI86" s="143"/>
      <c r="BJ86" s="143"/>
      <c r="BK86" s="13">
        <f t="shared" si="91"/>
        <v>0</v>
      </c>
      <c r="BL86" s="143"/>
      <c r="BM86" s="143"/>
      <c r="BN86" s="13">
        <f t="shared" si="92"/>
        <v>0</v>
      </c>
      <c r="BO86" s="143"/>
      <c r="BP86" s="143"/>
      <c r="BQ86" s="13">
        <f t="shared" si="93"/>
        <v>0</v>
      </c>
      <c r="BR86" s="143"/>
      <c r="BS86" s="143"/>
      <c r="BT86" s="13">
        <f t="shared" si="37"/>
        <v>0</v>
      </c>
      <c r="BU86" s="143"/>
      <c r="BV86" s="143"/>
      <c r="BW86" s="13">
        <f t="shared" si="94"/>
        <v>0</v>
      </c>
      <c r="BX86" s="143"/>
      <c r="BY86" s="143"/>
      <c r="BZ86" s="13">
        <f>BW86+BX86-BY86</f>
        <v>0</v>
      </c>
      <c r="CA86" s="143"/>
      <c r="CB86" s="143"/>
      <c r="CC86" s="13">
        <f>BZ86+CA86-CB86</f>
        <v>0</v>
      </c>
      <c r="CD86" s="143"/>
      <c r="CE86" s="143"/>
      <c r="CF86" s="13">
        <f>CC86+CD86-CE86</f>
        <v>0</v>
      </c>
      <c r="CG86" s="143"/>
      <c r="CH86" s="143"/>
      <c r="CI86" s="13">
        <f>CF86+CG86-CH86</f>
        <v>0</v>
      </c>
      <c r="CJ86" s="143"/>
      <c r="CK86" s="143"/>
      <c r="CL86" s="13">
        <f>CI86+CJ86-CK86</f>
        <v>0</v>
      </c>
      <c r="CM86" s="143"/>
      <c r="CN86" s="143"/>
      <c r="CO86" s="13">
        <f>CL86+CM86-CN86</f>
        <v>0</v>
      </c>
      <c r="CP86" s="143"/>
      <c r="CQ86" s="143"/>
      <c r="CR86" s="13">
        <f>CO86+CP86-CQ86</f>
        <v>0</v>
      </c>
      <c r="CS86" s="62"/>
      <c r="CT86" s="143"/>
      <c r="CU86" s="14">
        <f t="shared" si="42"/>
        <v>0</v>
      </c>
      <c r="CV86" s="5">
        <f t="shared" si="43"/>
        <v>0</v>
      </c>
      <c r="CW86" s="4">
        <f t="shared" si="43"/>
        <v>0</v>
      </c>
      <c r="CX86" s="6">
        <f t="shared" si="95"/>
        <v>0</v>
      </c>
      <c r="CY86" s="165">
        <v>787</v>
      </c>
      <c r="CZ86" s="171">
        <f t="shared" si="45"/>
        <v>0</v>
      </c>
      <c r="DA86" s="48"/>
      <c r="DB86" s="2">
        <f t="shared" si="49"/>
        <v>0</v>
      </c>
      <c r="DC86" s="62"/>
      <c r="DD86" s="143"/>
      <c r="DE86" s="149">
        <f t="shared" si="50"/>
        <v>0</v>
      </c>
    </row>
    <row r="87" spans="1:109" ht="16.2">
      <c r="A87" s="33" t="s">
        <v>201</v>
      </c>
      <c r="B87" s="3" t="s">
        <v>191</v>
      </c>
      <c r="C87" s="104" t="s">
        <v>27</v>
      </c>
      <c r="D87" s="34">
        <v>40</v>
      </c>
      <c r="E87" s="9" t="s">
        <v>260</v>
      </c>
      <c r="F87" s="14">
        <v>0</v>
      </c>
      <c r="G87" s="143"/>
      <c r="H87" s="143"/>
      <c r="I87" s="13">
        <f t="shared" si="73"/>
        <v>0</v>
      </c>
      <c r="J87" s="143"/>
      <c r="K87" s="143"/>
      <c r="L87" s="13">
        <f t="shared" si="74"/>
        <v>0</v>
      </c>
      <c r="M87" s="143"/>
      <c r="N87" s="143"/>
      <c r="O87" s="13">
        <f t="shared" si="75"/>
        <v>0</v>
      </c>
      <c r="P87" s="143"/>
      <c r="Q87" s="143"/>
      <c r="R87" s="30">
        <f t="shared" si="76"/>
        <v>0</v>
      </c>
      <c r="S87" s="143"/>
      <c r="T87" s="143"/>
      <c r="U87" s="13">
        <f t="shared" si="77"/>
        <v>0</v>
      </c>
      <c r="V87" s="143"/>
      <c r="W87" s="143"/>
      <c r="X87" s="13">
        <f t="shared" si="78"/>
        <v>0</v>
      </c>
      <c r="Y87" s="143"/>
      <c r="Z87" s="143"/>
      <c r="AA87" s="13">
        <f t="shared" si="57"/>
        <v>0</v>
      </c>
      <c r="AB87" s="143"/>
      <c r="AC87" s="143"/>
      <c r="AD87" s="13">
        <f t="shared" si="80"/>
        <v>0</v>
      </c>
      <c r="AE87" s="143"/>
      <c r="AF87" s="143"/>
      <c r="AG87" s="13">
        <f t="shared" si="81"/>
        <v>0</v>
      </c>
      <c r="AH87" s="143"/>
      <c r="AI87" s="143"/>
      <c r="AJ87" s="13">
        <f t="shared" si="82"/>
        <v>0</v>
      </c>
      <c r="AK87" s="143"/>
      <c r="AL87" s="143"/>
      <c r="AM87" s="13">
        <f t="shared" si="83"/>
        <v>0</v>
      </c>
      <c r="AN87" s="143"/>
      <c r="AO87" s="143"/>
      <c r="AP87" s="13">
        <f t="shared" si="84"/>
        <v>0</v>
      </c>
      <c r="AQ87" s="143"/>
      <c r="AR87" s="143"/>
      <c r="AS87" s="13">
        <f t="shared" si="85"/>
        <v>0</v>
      </c>
      <c r="AT87" s="143"/>
      <c r="AU87" s="143"/>
      <c r="AV87" s="13">
        <f t="shared" si="86"/>
        <v>0</v>
      </c>
      <c r="AW87" s="143"/>
      <c r="AX87" s="143"/>
      <c r="AY87" s="13">
        <f t="shared" si="87"/>
        <v>0</v>
      </c>
      <c r="AZ87" s="143"/>
      <c r="BA87" s="143"/>
      <c r="BB87" s="13">
        <f t="shared" si="88"/>
        <v>0</v>
      </c>
      <c r="BC87" s="143"/>
      <c r="BD87" s="143"/>
      <c r="BE87" s="13">
        <f t="shared" si="89"/>
        <v>0</v>
      </c>
      <c r="BF87" s="143"/>
      <c r="BG87" s="143"/>
      <c r="BH87" s="13">
        <f t="shared" si="90"/>
        <v>0</v>
      </c>
      <c r="BI87" s="143"/>
      <c r="BJ87" s="143"/>
      <c r="BK87" s="13">
        <f t="shared" si="91"/>
        <v>0</v>
      </c>
      <c r="BL87" s="143"/>
      <c r="BM87" s="143"/>
      <c r="BN87" s="13">
        <f t="shared" si="92"/>
        <v>0</v>
      </c>
      <c r="BO87" s="143"/>
      <c r="BP87" s="143"/>
      <c r="BQ87" s="13">
        <f t="shared" si="93"/>
        <v>0</v>
      </c>
      <c r="BR87" s="143"/>
      <c r="BS87" s="143"/>
      <c r="BT87" s="13">
        <f t="shared" si="37"/>
        <v>0</v>
      </c>
      <c r="BU87" s="143"/>
      <c r="BV87" s="143"/>
      <c r="BW87" s="13">
        <f t="shared" si="94"/>
        <v>0</v>
      </c>
      <c r="BX87" s="143"/>
      <c r="BY87" s="143"/>
      <c r="BZ87" s="13">
        <f>BW87+BX87-BY87</f>
        <v>0</v>
      </c>
      <c r="CA87" s="143"/>
      <c r="CB87" s="143"/>
      <c r="CC87" s="13">
        <f>BZ87+CA87-CB87</f>
        <v>0</v>
      </c>
      <c r="CD87" s="143"/>
      <c r="CE87" s="143"/>
      <c r="CF87" s="13">
        <f>CC87+CD87-CE87</f>
        <v>0</v>
      </c>
      <c r="CG87" s="143"/>
      <c r="CH87" s="143"/>
      <c r="CI87" s="13">
        <f>CF87+CG87-CH87</f>
        <v>0</v>
      </c>
      <c r="CJ87" s="143"/>
      <c r="CK87" s="143"/>
      <c r="CL87" s="13">
        <f>CI87+CJ87-CK87</f>
        <v>0</v>
      </c>
      <c r="CM87" s="143"/>
      <c r="CN87" s="143"/>
      <c r="CO87" s="13">
        <f>CL87+CM87-CN87</f>
        <v>0</v>
      </c>
      <c r="CP87" s="143"/>
      <c r="CQ87" s="143"/>
      <c r="CR87" s="13">
        <f>CO87+CP87-CQ87</f>
        <v>0</v>
      </c>
      <c r="CS87" s="62"/>
      <c r="CT87" s="143"/>
      <c r="CU87" s="14">
        <f t="shared" si="42"/>
        <v>0</v>
      </c>
      <c r="CV87" s="5">
        <f t="shared" si="43"/>
        <v>0</v>
      </c>
      <c r="CW87" s="4">
        <f t="shared" si="43"/>
        <v>0</v>
      </c>
      <c r="CX87" s="6">
        <f t="shared" si="95"/>
        <v>0</v>
      </c>
      <c r="CY87" s="165">
        <v>787</v>
      </c>
      <c r="CZ87" s="171">
        <f t="shared" si="45"/>
        <v>0</v>
      </c>
      <c r="DA87" s="48"/>
      <c r="DB87" s="2">
        <f t="shared" si="49"/>
        <v>0</v>
      </c>
      <c r="DC87" s="62"/>
      <c r="DD87" s="143"/>
      <c r="DE87" s="149">
        <f t="shared" si="50"/>
        <v>0</v>
      </c>
    </row>
    <row r="88" spans="1:109" ht="16.2">
      <c r="A88" s="33" t="s">
        <v>201</v>
      </c>
      <c r="B88" s="3" t="s">
        <v>258</v>
      </c>
      <c r="C88" s="104" t="s">
        <v>27</v>
      </c>
      <c r="D88" s="34">
        <v>40</v>
      </c>
      <c r="E88" s="9" t="s">
        <v>260</v>
      </c>
      <c r="F88" s="14">
        <v>0</v>
      </c>
      <c r="G88" s="143"/>
      <c r="H88" s="143"/>
      <c r="I88" s="13">
        <f t="shared" si="73"/>
        <v>0</v>
      </c>
      <c r="J88" s="143"/>
      <c r="K88" s="143"/>
      <c r="L88" s="13">
        <f t="shared" si="74"/>
        <v>0</v>
      </c>
      <c r="M88" s="143"/>
      <c r="N88" s="143"/>
      <c r="O88" s="13">
        <f t="shared" si="75"/>
        <v>0</v>
      </c>
      <c r="P88" s="143"/>
      <c r="Q88" s="143"/>
      <c r="R88" s="30">
        <f t="shared" si="76"/>
        <v>0</v>
      </c>
      <c r="S88" s="143"/>
      <c r="T88" s="143"/>
      <c r="U88" s="13">
        <f t="shared" si="77"/>
        <v>0</v>
      </c>
      <c r="V88" s="143"/>
      <c r="W88" s="143"/>
      <c r="X88" s="13">
        <f t="shared" si="78"/>
        <v>0</v>
      </c>
      <c r="Y88" s="143"/>
      <c r="Z88" s="143"/>
      <c r="AA88" s="13">
        <f t="shared" si="57"/>
        <v>0</v>
      </c>
      <c r="AB88" s="143"/>
      <c r="AC88" s="143"/>
      <c r="AD88" s="13">
        <f t="shared" si="80"/>
        <v>0</v>
      </c>
      <c r="AE88" s="143"/>
      <c r="AF88" s="143"/>
      <c r="AG88" s="13">
        <f t="shared" si="81"/>
        <v>0</v>
      </c>
      <c r="AH88" s="143"/>
      <c r="AI88" s="143"/>
      <c r="AJ88" s="13">
        <f t="shared" si="82"/>
        <v>0</v>
      </c>
      <c r="AK88" s="143"/>
      <c r="AL88" s="143"/>
      <c r="AM88" s="13">
        <f t="shared" si="83"/>
        <v>0</v>
      </c>
      <c r="AN88" s="143"/>
      <c r="AO88" s="143"/>
      <c r="AP88" s="13">
        <f t="shared" si="84"/>
        <v>0</v>
      </c>
      <c r="AQ88" s="143"/>
      <c r="AR88" s="143"/>
      <c r="AS88" s="13">
        <f t="shared" si="85"/>
        <v>0</v>
      </c>
      <c r="AT88" s="143"/>
      <c r="AU88" s="143"/>
      <c r="AV88" s="13">
        <f t="shared" si="86"/>
        <v>0</v>
      </c>
      <c r="AW88" s="143"/>
      <c r="AX88" s="143"/>
      <c r="AY88" s="13">
        <f t="shared" si="87"/>
        <v>0</v>
      </c>
      <c r="AZ88" s="143"/>
      <c r="BA88" s="143"/>
      <c r="BB88" s="13">
        <f t="shared" si="88"/>
        <v>0</v>
      </c>
      <c r="BC88" s="143"/>
      <c r="BD88" s="143"/>
      <c r="BE88" s="13">
        <f t="shared" si="89"/>
        <v>0</v>
      </c>
      <c r="BF88" s="143"/>
      <c r="BG88" s="143"/>
      <c r="BH88" s="13">
        <f t="shared" si="90"/>
        <v>0</v>
      </c>
      <c r="BI88" s="143"/>
      <c r="BJ88" s="143"/>
      <c r="BK88" s="13">
        <f t="shared" si="91"/>
        <v>0</v>
      </c>
      <c r="BL88" s="143"/>
      <c r="BM88" s="143"/>
      <c r="BN88" s="13">
        <f t="shared" si="92"/>
        <v>0</v>
      </c>
      <c r="BO88" s="143"/>
      <c r="BP88" s="143"/>
      <c r="BQ88" s="13">
        <f t="shared" si="93"/>
        <v>0</v>
      </c>
      <c r="BR88" s="143"/>
      <c r="BS88" s="143"/>
      <c r="BT88" s="13">
        <f t="shared" si="37"/>
        <v>0</v>
      </c>
      <c r="BU88" s="143"/>
      <c r="BV88" s="143"/>
      <c r="BW88" s="13">
        <f t="shared" si="94"/>
        <v>0</v>
      </c>
      <c r="BX88" s="143"/>
      <c r="BY88" s="143"/>
      <c r="BZ88" s="13">
        <f t="shared" ref="BZ88" si="96">BW88+BX88-BY88</f>
        <v>0</v>
      </c>
      <c r="CA88" s="143"/>
      <c r="CB88" s="143"/>
      <c r="CC88" s="13">
        <f t="shared" ref="CC88" si="97">BZ88+CA88-CB88</f>
        <v>0</v>
      </c>
      <c r="CD88" s="143"/>
      <c r="CE88" s="143"/>
      <c r="CF88" s="13">
        <f t="shared" ref="CF88" si="98">CC88+CD88-CE88</f>
        <v>0</v>
      </c>
      <c r="CG88" s="143"/>
      <c r="CH88" s="143"/>
      <c r="CI88" s="13">
        <f t="shared" ref="CI88" si="99">CF88+CG88-CH88</f>
        <v>0</v>
      </c>
      <c r="CJ88" s="143"/>
      <c r="CK88" s="143"/>
      <c r="CL88" s="13">
        <f t="shared" ref="CL88" si="100">CI88+CJ88-CK88</f>
        <v>0</v>
      </c>
      <c r="CM88" s="143"/>
      <c r="CN88" s="143"/>
      <c r="CO88" s="13">
        <f t="shared" ref="CO88" si="101">CL88+CM88-CN88</f>
        <v>0</v>
      </c>
      <c r="CP88" s="143"/>
      <c r="CQ88" s="143"/>
      <c r="CR88" s="13">
        <f t="shared" ref="CR88" si="102">CO88+CP88-CQ88</f>
        <v>0</v>
      </c>
      <c r="CS88" s="62"/>
      <c r="CT88" s="143"/>
      <c r="CU88" s="14">
        <f t="shared" si="42"/>
        <v>0</v>
      </c>
      <c r="CV88" s="5">
        <f t="shared" si="43"/>
        <v>0</v>
      </c>
      <c r="CW88" s="4">
        <f t="shared" si="43"/>
        <v>0</v>
      </c>
      <c r="CX88" s="6">
        <f t="shared" si="95"/>
        <v>0</v>
      </c>
      <c r="CY88" s="165">
        <v>787</v>
      </c>
      <c r="CZ88" s="171">
        <f t="shared" si="45"/>
        <v>0</v>
      </c>
      <c r="DA88" s="48"/>
      <c r="DB88" s="2">
        <f t="shared" si="49"/>
        <v>0</v>
      </c>
      <c r="DC88" s="62"/>
      <c r="DD88" s="143"/>
      <c r="DE88" s="149">
        <f t="shared" si="50"/>
        <v>0</v>
      </c>
    </row>
    <row r="89" spans="1:109" ht="17.25" hidden="1" customHeight="1">
      <c r="A89" s="135" t="s">
        <v>209</v>
      </c>
      <c r="B89" s="3" t="s">
        <v>210</v>
      </c>
      <c r="C89" s="104" t="s">
        <v>27</v>
      </c>
      <c r="D89" s="34">
        <v>40</v>
      </c>
      <c r="E89" s="9" t="s">
        <v>68</v>
      </c>
      <c r="F89" s="14">
        <v>0</v>
      </c>
      <c r="G89" s="143"/>
      <c r="H89" s="143"/>
      <c r="I89" s="13">
        <f t="shared" si="73"/>
        <v>0</v>
      </c>
      <c r="J89" s="143"/>
      <c r="K89" s="143"/>
      <c r="L89" s="13">
        <f t="shared" si="74"/>
        <v>0</v>
      </c>
      <c r="M89" s="143"/>
      <c r="N89" s="143"/>
      <c r="O89" s="13">
        <f t="shared" si="75"/>
        <v>0</v>
      </c>
      <c r="P89" s="143"/>
      <c r="Q89" s="143"/>
      <c r="R89" s="30">
        <f t="shared" si="76"/>
        <v>0</v>
      </c>
      <c r="S89" s="143"/>
      <c r="T89" s="143"/>
      <c r="U89" s="13">
        <f t="shared" si="77"/>
        <v>0</v>
      </c>
      <c r="V89" s="143"/>
      <c r="W89" s="143"/>
      <c r="X89" s="13">
        <f t="shared" si="78"/>
        <v>0</v>
      </c>
      <c r="Y89" s="143"/>
      <c r="Z89" s="143"/>
      <c r="AA89" s="13">
        <f t="shared" si="57"/>
        <v>0</v>
      </c>
      <c r="AB89" s="143"/>
      <c r="AC89" s="143"/>
      <c r="AD89" s="13">
        <f t="shared" si="80"/>
        <v>0</v>
      </c>
      <c r="AE89" s="143"/>
      <c r="AF89" s="143"/>
      <c r="AG89" s="13">
        <f t="shared" si="81"/>
        <v>0</v>
      </c>
      <c r="AH89" s="143"/>
      <c r="AI89" s="143"/>
      <c r="AJ89" s="13">
        <f t="shared" si="82"/>
        <v>0</v>
      </c>
      <c r="AK89" s="143"/>
      <c r="AL89" s="143"/>
      <c r="AM89" s="13">
        <f t="shared" si="83"/>
        <v>0</v>
      </c>
      <c r="AN89" s="143"/>
      <c r="AO89" s="143"/>
      <c r="AP89" s="13">
        <f t="shared" si="84"/>
        <v>0</v>
      </c>
      <c r="AQ89" s="143"/>
      <c r="AR89" s="143"/>
      <c r="AS89" s="13">
        <f t="shared" si="85"/>
        <v>0</v>
      </c>
      <c r="AT89" s="143"/>
      <c r="AU89" s="143"/>
      <c r="AV89" s="13">
        <f t="shared" si="86"/>
        <v>0</v>
      </c>
      <c r="AW89" s="143"/>
      <c r="AX89" s="143"/>
      <c r="AY89" s="13">
        <f t="shared" si="87"/>
        <v>0</v>
      </c>
      <c r="AZ89" s="143"/>
      <c r="BA89" s="143"/>
      <c r="BB89" s="13">
        <f t="shared" si="88"/>
        <v>0</v>
      </c>
      <c r="BC89" s="143"/>
      <c r="BD89" s="143"/>
      <c r="BE89" s="13">
        <f t="shared" si="89"/>
        <v>0</v>
      </c>
      <c r="BF89" s="143"/>
      <c r="BG89" s="143"/>
      <c r="BH89" s="13">
        <f t="shared" si="90"/>
        <v>0</v>
      </c>
      <c r="BI89" s="143"/>
      <c r="BJ89" s="143"/>
      <c r="BK89" s="13">
        <f t="shared" si="91"/>
        <v>0</v>
      </c>
      <c r="BL89" s="143"/>
      <c r="BM89" s="143"/>
      <c r="BN89" s="13">
        <f t="shared" si="92"/>
        <v>0</v>
      </c>
      <c r="BO89" s="143"/>
      <c r="BP89" s="143"/>
      <c r="BQ89" s="13">
        <f t="shared" si="93"/>
        <v>0</v>
      </c>
      <c r="BR89" s="143"/>
      <c r="BS89" s="143"/>
      <c r="BT89" s="13">
        <f t="shared" si="37"/>
        <v>0</v>
      </c>
      <c r="BU89" s="143"/>
      <c r="BV89" s="143"/>
      <c r="BW89" s="13">
        <f t="shared" si="94"/>
        <v>0</v>
      </c>
      <c r="BX89" s="143"/>
      <c r="BY89" s="143"/>
      <c r="BZ89" s="13">
        <f>BW89+BX89-BY89</f>
        <v>0</v>
      </c>
      <c r="CA89" s="143"/>
      <c r="CB89" s="143"/>
      <c r="CC89" s="13">
        <f>BZ89+CA89-CB89</f>
        <v>0</v>
      </c>
      <c r="CD89" s="143"/>
      <c r="CE89" s="143"/>
      <c r="CF89" s="13">
        <f>CC89+CD89-CE89</f>
        <v>0</v>
      </c>
      <c r="CG89" s="143"/>
      <c r="CH89" s="143"/>
      <c r="CI89" s="13">
        <f>CF89+CG89-CH89</f>
        <v>0</v>
      </c>
      <c r="CJ89" s="143"/>
      <c r="CK89" s="143"/>
      <c r="CL89" s="13">
        <f>CI89+CJ89-CK89</f>
        <v>0</v>
      </c>
      <c r="CM89" s="143"/>
      <c r="CN89" s="143"/>
      <c r="CO89" s="13">
        <f>CL89+CM89-CN89</f>
        <v>0</v>
      </c>
      <c r="CP89" s="143"/>
      <c r="CQ89" s="143"/>
      <c r="CR89" s="13">
        <f>CO89+CP89-CQ89</f>
        <v>0</v>
      </c>
      <c r="CS89" s="62"/>
      <c r="CT89" s="143"/>
      <c r="CU89" s="14">
        <f t="shared" si="42"/>
        <v>0</v>
      </c>
      <c r="CV89" s="5">
        <f t="shared" si="43"/>
        <v>0</v>
      </c>
      <c r="CW89" s="4">
        <f t="shared" si="43"/>
        <v>0</v>
      </c>
      <c r="CX89" s="6">
        <f t="shared" si="95"/>
        <v>0</v>
      </c>
      <c r="CY89" s="165">
        <v>472</v>
      </c>
      <c r="CZ89" s="171">
        <f t="shared" si="45"/>
        <v>0</v>
      </c>
      <c r="DA89" s="48"/>
      <c r="DB89" s="2">
        <f t="shared" si="49"/>
        <v>0</v>
      </c>
      <c r="DC89" s="62"/>
      <c r="DD89" s="143"/>
      <c r="DE89" s="149">
        <f t="shared" si="50"/>
        <v>0</v>
      </c>
    </row>
    <row r="90" spans="1:109" ht="17.25" hidden="1" customHeight="1">
      <c r="A90" s="135" t="s">
        <v>209</v>
      </c>
      <c r="B90" s="3" t="s">
        <v>211</v>
      </c>
      <c r="C90" s="104" t="s">
        <v>27</v>
      </c>
      <c r="D90" s="34">
        <v>20</v>
      </c>
      <c r="E90" s="9" t="s">
        <v>68</v>
      </c>
      <c r="F90" s="14">
        <v>0</v>
      </c>
      <c r="G90" s="143"/>
      <c r="H90" s="143"/>
      <c r="I90" s="13">
        <f t="shared" si="73"/>
        <v>0</v>
      </c>
      <c r="J90" s="143"/>
      <c r="K90" s="143"/>
      <c r="L90" s="13">
        <f t="shared" si="74"/>
        <v>0</v>
      </c>
      <c r="M90" s="143"/>
      <c r="N90" s="143"/>
      <c r="O90" s="13">
        <f t="shared" si="75"/>
        <v>0</v>
      </c>
      <c r="P90" s="143"/>
      <c r="Q90" s="143"/>
      <c r="R90" s="30">
        <f t="shared" si="76"/>
        <v>0</v>
      </c>
      <c r="S90" s="143"/>
      <c r="T90" s="143"/>
      <c r="U90" s="13">
        <f t="shared" si="77"/>
        <v>0</v>
      </c>
      <c r="V90" s="143"/>
      <c r="W90" s="143"/>
      <c r="X90" s="13">
        <f t="shared" si="78"/>
        <v>0</v>
      </c>
      <c r="Y90" s="143"/>
      <c r="Z90" s="143"/>
      <c r="AA90" s="13">
        <f t="shared" si="57"/>
        <v>0</v>
      </c>
      <c r="AB90" s="143"/>
      <c r="AC90" s="143"/>
      <c r="AD90" s="13">
        <f t="shared" si="80"/>
        <v>0</v>
      </c>
      <c r="AE90" s="143"/>
      <c r="AF90" s="143"/>
      <c r="AG90" s="13">
        <f t="shared" si="81"/>
        <v>0</v>
      </c>
      <c r="AH90" s="143"/>
      <c r="AI90" s="143"/>
      <c r="AJ90" s="13">
        <f t="shared" si="82"/>
        <v>0</v>
      </c>
      <c r="AK90" s="143"/>
      <c r="AL90" s="143"/>
      <c r="AM90" s="13">
        <f t="shared" si="83"/>
        <v>0</v>
      </c>
      <c r="AN90" s="143"/>
      <c r="AO90" s="143"/>
      <c r="AP90" s="13">
        <f t="shared" si="84"/>
        <v>0</v>
      </c>
      <c r="AQ90" s="143"/>
      <c r="AR90" s="143"/>
      <c r="AS90" s="13">
        <f t="shared" si="85"/>
        <v>0</v>
      </c>
      <c r="AT90" s="143"/>
      <c r="AU90" s="143"/>
      <c r="AV90" s="13">
        <f t="shared" si="86"/>
        <v>0</v>
      </c>
      <c r="AW90" s="143"/>
      <c r="AX90" s="143"/>
      <c r="AY90" s="13">
        <f t="shared" si="87"/>
        <v>0</v>
      </c>
      <c r="AZ90" s="143"/>
      <c r="BA90" s="143"/>
      <c r="BB90" s="13">
        <f t="shared" si="88"/>
        <v>0</v>
      </c>
      <c r="BC90" s="143"/>
      <c r="BD90" s="143"/>
      <c r="BE90" s="13">
        <f t="shared" si="89"/>
        <v>0</v>
      </c>
      <c r="BF90" s="143"/>
      <c r="BG90" s="143"/>
      <c r="BH90" s="13">
        <f t="shared" si="90"/>
        <v>0</v>
      </c>
      <c r="BI90" s="143"/>
      <c r="BJ90" s="143"/>
      <c r="BK90" s="13">
        <f t="shared" si="91"/>
        <v>0</v>
      </c>
      <c r="BL90" s="143"/>
      <c r="BM90" s="143"/>
      <c r="BN90" s="13">
        <f t="shared" si="92"/>
        <v>0</v>
      </c>
      <c r="BO90" s="143"/>
      <c r="BP90" s="143"/>
      <c r="BQ90" s="13">
        <f t="shared" si="93"/>
        <v>0</v>
      </c>
      <c r="BR90" s="143"/>
      <c r="BS90" s="143"/>
      <c r="BT90" s="13">
        <f t="shared" si="37"/>
        <v>0</v>
      </c>
      <c r="BU90" s="143"/>
      <c r="BV90" s="143"/>
      <c r="BW90" s="13">
        <f t="shared" si="94"/>
        <v>0</v>
      </c>
      <c r="BX90" s="143"/>
      <c r="BY90" s="143"/>
      <c r="BZ90" s="13">
        <f t="shared" ref="BZ90:BZ93" si="103">BW90+BX90-BY90</f>
        <v>0</v>
      </c>
      <c r="CA90" s="143"/>
      <c r="CB90" s="143"/>
      <c r="CC90" s="13">
        <f t="shared" ref="CC90:CC93" si="104">BZ90+CA90-CB90</f>
        <v>0</v>
      </c>
      <c r="CD90" s="143"/>
      <c r="CE90" s="143"/>
      <c r="CF90" s="13">
        <f t="shared" ref="CF90:CF93" si="105">CC90+CD90-CE90</f>
        <v>0</v>
      </c>
      <c r="CG90" s="143"/>
      <c r="CH90" s="143"/>
      <c r="CI90" s="13">
        <f t="shared" ref="CI90:CI93" si="106">CF90+CG90-CH90</f>
        <v>0</v>
      </c>
      <c r="CJ90" s="143"/>
      <c r="CK90" s="143"/>
      <c r="CL90" s="13">
        <f t="shared" ref="CL90:CL93" si="107">CI90+CJ90-CK90</f>
        <v>0</v>
      </c>
      <c r="CM90" s="143"/>
      <c r="CN90" s="143"/>
      <c r="CO90" s="13">
        <f t="shared" ref="CO90:CO93" si="108">CL90+CM90-CN90</f>
        <v>0</v>
      </c>
      <c r="CP90" s="143"/>
      <c r="CQ90" s="143"/>
      <c r="CR90" s="13">
        <f t="shared" ref="CR90:CR93" si="109">CO90+CP90-CQ90</f>
        <v>0</v>
      </c>
      <c r="CS90" s="62"/>
      <c r="CT90" s="143"/>
      <c r="CU90" s="14">
        <f t="shared" si="42"/>
        <v>0</v>
      </c>
      <c r="CV90" s="5">
        <f t="shared" si="43"/>
        <v>0</v>
      </c>
      <c r="CW90" s="4">
        <f t="shared" si="43"/>
        <v>0</v>
      </c>
      <c r="CX90" s="6">
        <f t="shared" si="95"/>
        <v>0</v>
      </c>
      <c r="CY90" s="165">
        <v>472</v>
      </c>
      <c r="CZ90" s="171">
        <f t="shared" si="45"/>
        <v>0</v>
      </c>
      <c r="DA90" s="48"/>
      <c r="DB90" s="2">
        <f t="shared" si="49"/>
        <v>0</v>
      </c>
      <c r="DC90" s="62"/>
      <c r="DD90" s="143"/>
      <c r="DE90" s="149">
        <f t="shared" si="50"/>
        <v>0</v>
      </c>
    </row>
    <row r="91" spans="1:109" ht="17.25" hidden="1" customHeight="1">
      <c r="A91" s="135" t="s">
        <v>209</v>
      </c>
      <c r="B91" s="3" t="s">
        <v>212</v>
      </c>
      <c r="C91" s="104" t="s">
        <v>27</v>
      </c>
      <c r="D91" s="34">
        <v>20</v>
      </c>
      <c r="E91" s="9" t="s">
        <v>68</v>
      </c>
      <c r="F91" s="14">
        <v>0</v>
      </c>
      <c r="G91" s="143"/>
      <c r="H91" s="143"/>
      <c r="I91" s="13">
        <f t="shared" si="73"/>
        <v>0</v>
      </c>
      <c r="J91" s="143"/>
      <c r="K91" s="143"/>
      <c r="L91" s="13">
        <f t="shared" si="74"/>
        <v>0</v>
      </c>
      <c r="M91" s="143"/>
      <c r="N91" s="143"/>
      <c r="O91" s="13">
        <f t="shared" si="75"/>
        <v>0</v>
      </c>
      <c r="P91" s="143"/>
      <c r="Q91" s="143"/>
      <c r="R91" s="30">
        <f t="shared" si="76"/>
        <v>0</v>
      </c>
      <c r="S91" s="143"/>
      <c r="T91" s="143"/>
      <c r="U91" s="13">
        <f t="shared" si="77"/>
        <v>0</v>
      </c>
      <c r="V91" s="143"/>
      <c r="W91" s="143"/>
      <c r="X91" s="13">
        <f t="shared" si="78"/>
        <v>0</v>
      </c>
      <c r="Y91" s="143"/>
      <c r="Z91" s="143"/>
      <c r="AA91" s="13">
        <f t="shared" si="57"/>
        <v>0</v>
      </c>
      <c r="AB91" s="143"/>
      <c r="AC91" s="143"/>
      <c r="AD91" s="13">
        <f t="shared" si="80"/>
        <v>0</v>
      </c>
      <c r="AE91" s="143"/>
      <c r="AF91" s="143"/>
      <c r="AG91" s="13">
        <f t="shared" si="81"/>
        <v>0</v>
      </c>
      <c r="AH91" s="143"/>
      <c r="AI91" s="143"/>
      <c r="AJ91" s="13">
        <f t="shared" si="82"/>
        <v>0</v>
      </c>
      <c r="AK91" s="143"/>
      <c r="AL91" s="143"/>
      <c r="AM91" s="13">
        <f t="shared" si="83"/>
        <v>0</v>
      </c>
      <c r="AN91" s="143"/>
      <c r="AO91" s="143"/>
      <c r="AP91" s="13">
        <f t="shared" si="84"/>
        <v>0</v>
      </c>
      <c r="AQ91" s="143"/>
      <c r="AR91" s="143"/>
      <c r="AS91" s="13">
        <f t="shared" si="85"/>
        <v>0</v>
      </c>
      <c r="AT91" s="143"/>
      <c r="AU91" s="143"/>
      <c r="AV91" s="13">
        <f t="shared" si="86"/>
        <v>0</v>
      </c>
      <c r="AW91" s="143"/>
      <c r="AX91" s="143"/>
      <c r="AY91" s="13">
        <f t="shared" si="87"/>
        <v>0</v>
      </c>
      <c r="AZ91" s="143"/>
      <c r="BA91" s="143"/>
      <c r="BB91" s="13">
        <f t="shared" si="88"/>
        <v>0</v>
      </c>
      <c r="BC91" s="143"/>
      <c r="BD91" s="143"/>
      <c r="BE91" s="13">
        <f t="shared" si="89"/>
        <v>0</v>
      </c>
      <c r="BF91" s="143"/>
      <c r="BG91" s="143"/>
      <c r="BH91" s="13">
        <f t="shared" si="90"/>
        <v>0</v>
      </c>
      <c r="BI91" s="143"/>
      <c r="BJ91" s="143"/>
      <c r="BK91" s="13">
        <f t="shared" si="91"/>
        <v>0</v>
      </c>
      <c r="BL91" s="143"/>
      <c r="BM91" s="143"/>
      <c r="BN91" s="13">
        <f t="shared" si="92"/>
        <v>0</v>
      </c>
      <c r="BO91" s="143"/>
      <c r="BP91" s="143"/>
      <c r="BQ91" s="13">
        <f t="shared" si="93"/>
        <v>0</v>
      </c>
      <c r="BR91" s="143"/>
      <c r="BS91" s="143"/>
      <c r="BT91" s="13">
        <f t="shared" si="37"/>
        <v>0</v>
      </c>
      <c r="BU91" s="143"/>
      <c r="BV91" s="143"/>
      <c r="BW91" s="13">
        <f t="shared" si="94"/>
        <v>0</v>
      </c>
      <c r="BX91" s="143"/>
      <c r="BY91" s="143"/>
      <c r="BZ91" s="13">
        <f t="shared" si="103"/>
        <v>0</v>
      </c>
      <c r="CA91" s="143"/>
      <c r="CB91" s="143"/>
      <c r="CC91" s="13">
        <f t="shared" si="104"/>
        <v>0</v>
      </c>
      <c r="CD91" s="143"/>
      <c r="CE91" s="143"/>
      <c r="CF91" s="13">
        <f t="shared" si="105"/>
        <v>0</v>
      </c>
      <c r="CG91" s="143"/>
      <c r="CH91" s="143"/>
      <c r="CI91" s="13">
        <f t="shared" si="106"/>
        <v>0</v>
      </c>
      <c r="CJ91" s="143"/>
      <c r="CK91" s="143"/>
      <c r="CL91" s="13">
        <f t="shared" si="107"/>
        <v>0</v>
      </c>
      <c r="CM91" s="143"/>
      <c r="CN91" s="143"/>
      <c r="CO91" s="13">
        <f t="shared" si="108"/>
        <v>0</v>
      </c>
      <c r="CP91" s="143"/>
      <c r="CQ91" s="143"/>
      <c r="CR91" s="13">
        <f t="shared" si="109"/>
        <v>0</v>
      </c>
      <c r="CS91" s="62"/>
      <c r="CT91" s="143"/>
      <c r="CU91" s="14">
        <f t="shared" si="42"/>
        <v>0</v>
      </c>
      <c r="CV91" s="5">
        <f t="shared" si="43"/>
        <v>0</v>
      </c>
      <c r="CW91" s="4">
        <f t="shared" si="43"/>
        <v>0</v>
      </c>
      <c r="CX91" s="6">
        <f t="shared" si="95"/>
        <v>0</v>
      </c>
      <c r="CY91" s="165">
        <v>472</v>
      </c>
      <c r="CZ91" s="171">
        <f t="shared" si="45"/>
        <v>0</v>
      </c>
      <c r="DA91" s="48"/>
      <c r="DB91" s="2">
        <f t="shared" si="49"/>
        <v>0</v>
      </c>
      <c r="DC91" s="62"/>
      <c r="DD91" s="143"/>
      <c r="DE91" s="149">
        <f t="shared" si="50"/>
        <v>0</v>
      </c>
    </row>
    <row r="92" spans="1:109" ht="16.2">
      <c r="A92" s="33"/>
      <c r="B92" s="56"/>
      <c r="C92" s="138"/>
      <c r="D92" s="44"/>
      <c r="E92" s="44"/>
      <c r="F92" s="14">
        <v>35</v>
      </c>
      <c r="G92" s="143"/>
      <c r="H92" s="143"/>
      <c r="I92" s="13">
        <f t="shared" si="73"/>
        <v>35</v>
      </c>
      <c r="J92" s="143"/>
      <c r="K92" s="143"/>
      <c r="L92" s="13">
        <f t="shared" si="74"/>
        <v>35</v>
      </c>
      <c r="M92" s="143"/>
      <c r="N92" s="143"/>
      <c r="O92" s="13">
        <f t="shared" si="75"/>
        <v>35</v>
      </c>
      <c r="P92" s="143"/>
      <c r="Q92" s="143"/>
      <c r="R92" s="30">
        <f t="shared" si="76"/>
        <v>35</v>
      </c>
      <c r="S92" s="143"/>
      <c r="T92" s="143"/>
      <c r="U92" s="13">
        <f t="shared" si="77"/>
        <v>35</v>
      </c>
      <c r="V92" s="143"/>
      <c r="W92" s="143"/>
      <c r="X92" s="13">
        <f t="shared" si="78"/>
        <v>35</v>
      </c>
      <c r="Y92" s="143"/>
      <c r="Z92" s="143"/>
      <c r="AA92" s="13">
        <f t="shared" si="57"/>
        <v>35</v>
      </c>
      <c r="AB92" s="143"/>
      <c r="AC92" s="143"/>
      <c r="AD92" s="13">
        <f t="shared" si="80"/>
        <v>35</v>
      </c>
      <c r="AE92" s="143"/>
      <c r="AF92" s="143"/>
      <c r="AG92" s="13">
        <f t="shared" si="81"/>
        <v>35</v>
      </c>
      <c r="AH92" s="143"/>
      <c r="AI92" s="143"/>
      <c r="AJ92" s="13">
        <f t="shared" si="82"/>
        <v>35</v>
      </c>
      <c r="AK92" s="143"/>
      <c r="AL92" s="143"/>
      <c r="AM92" s="13">
        <f t="shared" si="83"/>
        <v>35</v>
      </c>
      <c r="AN92" s="143"/>
      <c r="AO92" s="143"/>
      <c r="AP92" s="13">
        <f t="shared" si="84"/>
        <v>35</v>
      </c>
      <c r="AQ92" s="143"/>
      <c r="AR92" s="143"/>
      <c r="AS92" s="13">
        <f t="shared" si="85"/>
        <v>35</v>
      </c>
      <c r="AT92" s="143"/>
      <c r="AU92" s="143"/>
      <c r="AV92" s="13">
        <f t="shared" si="86"/>
        <v>35</v>
      </c>
      <c r="AW92" s="143"/>
      <c r="AX92" s="143"/>
      <c r="AY92" s="13">
        <f t="shared" si="87"/>
        <v>35</v>
      </c>
      <c r="AZ92" s="143"/>
      <c r="BA92" s="143"/>
      <c r="BB92" s="13">
        <f t="shared" si="88"/>
        <v>35</v>
      </c>
      <c r="BC92" s="143"/>
      <c r="BD92" s="143"/>
      <c r="BE92" s="13">
        <f t="shared" si="89"/>
        <v>35</v>
      </c>
      <c r="BF92" s="143"/>
      <c r="BG92" s="143"/>
      <c r="BH92" s="13">
        <f t="shared" si="90"/>
        <v>35</v>
      </c>
      <c r="BI92" s="143"/>
      <c r="BJ92" s="143"/>
      <c r="BK92" s="13">
        <f t="shared" si="91"/>
        <v>35</v>
      </c>
      <c r="BL92" s="143"/>
      <c r="BM92" s="143"/>
      <c r="BN92" s="13">
        <f t="shared" si="92"/>
        <v>35</v>
      </c>
      <c r="BO92" s="143"/>
      <c r="BP92" s="143"/>
      <c r="BQ92" s="13">
        <f t="shared" si="93"/>
        <v>35</v>
      </c>
      <c r="BR92" s="143"/>
      <c r="BS92" s="143"/>
      <c r="BT92" s="13">
        <f t="shared" si="37"/>
        <v>35</v>
      </c>
      <c r="BU92" s="143"/>
      <c r="BV92" s="143"/>
      <c r="BW92" s="13">
        <f t="shared" si="94"/>
        <v>35</v>
      </c>
      <c r="BX92" s="143"/>
      <c r="BY92" s="143"/>
      <c r="BZ92" s="13">
        <f t="shared" si="103"/>
        <v>35</v>
      </c>
      <c r="CA92" s="143"/>
      <c r="CB92" s="143"/>
      <c r="CC92" s="13">
        <f t="shared" si="104"/>
        <v>35</v>
      </c>
      <c r="CD92" s="143"/>
      <c r="CE92" s="143"/>
      <c r="CF92" s="13">
        <f t="shared" si="105"/>
        <v>35</v>
      </c>
      <c r="CG92" s="143"/>
      <c r="CH92" s="143"/>
      <c r="CI92" s="13">
        <f t="shared" si="106"/>
        <v>35</v>
      </c>
      <c r="CJ92" s="143"/>
      <c r="CK92" s="143"/>
      <c r="CL92" s="13">
        <f t="shared" si="107"/>
        <v>35</v>
      </c>
      <c r="CM92" s="143"/>
      <c r="CN92" s="143"/>
      <c r="CO92" s="13">
        <f t="shared" si="108"/>
        <v>35</v>
      </c>
      <c r="CP92" s="143"/>
      <c r="CQ92" s="143"/>
      <c r="CR92" s="13">
        <f t="shared" si="109"/>
        <v>35</v>
      </c>
      <c r="CS92" s="62"/>
      <c r="CT92" s="143"/>
      <c r="CU92" s="14">
        <f t="shared" si="42"/>
        <v>35</v>
      </c>
      <c r="CV92" s="5">
        <f t="shared" si="43"/>
        <v>0</v>
      </c>
      <c r="CW92" s="4">
        <f t="shared" si="43"/>
        <v>0</v>
      </c>
      <c r="CX92" s="6">
        <f t="shared" si="95"/>
        <v>35</v>
      </c>
      <c r="CY92" s="165">
        <v>0</v>
      </c>
      <c r="CZ92" s="171">
        <f t="shared" si="45"/>
        <v>0</v>
      </c>
      <c r="DB92" s="2">
        <f t="shared" si="49"/>
        <v>35</v>
      </c>
      <c r="DC92" s="62"/>
      <c r="DD92" s="143"/>
      <c r="DE92" s="149">
        <f t="shared" si="50"/>
        <v>35</v>
      </c>
    </row>
    <row r="93" spans="1:109" ht="16.8" thickBot="1">
      <c r="A93" s="33"/>
      <c r="B93" s="36"/>
      <c r="C93" s="104"/>
      <c r="D93" s="34"/>
      <c r="E93" s="9"/>
      <c r="F93" s="14">
        <v>0</v>
      </c>
      <c r="G93" s="143"/>
      <c r="H93" s="143"/>
      <c r="I93" s="13">
        <f t="shared" si="73"/>
        <v>0</v>
      </c>
      <c r="J93" s="143"/>
      <c r="K93" s="143"/>
      <c r="L93" s="13">
        <f t="shared" si="74"/>
        <v>0</v>
      </c>
      <c r="M93" s="143"/>
      <c r="N93" s="143"/>
      <c r="O93" s="13">
        <f t="shared" si="75"/>
        <v>0</v>
      </c>
      <c r="P93" s="143"/>
      <c r="Q93" s="143"/>
      <c r="R93" s="30">
        <f t="shared" si="76"/>
        <v>0</v>
      </c>
      <c r="S93" s="143"/>
      <c r="T93" s="143"/>
      <c r="U93" s="13">
        <f t="shared" si="77"/>
        <v>0</v>
      </c>
      <c r="V93" s="143"/>
      <c r="W93" s="143"/>
      <c r="X93" s="13">
        <f t="shared" si="78"/>
        <v>0</v>
      </c>
      <c r="Y93" s="143"/>
      <c r="Z93" s="143"/>
      <c r="AA93" s="13">
        <f t="shared" si="57"/>
        <v>0</v>
      </c>
      <c r="AB93" s="143"/>
      <c r="AC93" s="143"/>
      <c r="AD93" s="13">
        <f t="shared" si="80"/>
        <v>0</v>
      </c>
      <c r="AE93" s="143"/>
      <c r="AF93" s="143"/>
      <c r="AG93" s="13">
        <f t="shared" si="81"/>
        <v>0</v>
      </c>
      <c r="AH93" s="143"/>
      <c r="AI93" s="143"/>
      <c r="AJ93" s="13">
        <f t="shared" si="82"/>
        <v>0</v>
      </c>
      <c r="AK93" s="143"/>
      <c r="AL93" s="143"/>
      <c r="AM93" s="13">
        <f t="shared" si="83"/>
        <v>0</v>
      </c>
      <c r="AN93" s="143"/>
      <c r="AO93" s="143"/>
      <c r="AP93" s="13">
        <f t="shared" si="84"/>
        <v>0</v>
      </c>
      <c r="AQ93" s="143"/>
      <c r="AR93" s="143"/>
      <c r="AS93" s="13">
        <f t="shared" si="85"/>
        <v>0</v>
      </c>
      <c r="AT93" s="143"/>
      <c r="AU93" s="143"/>
      <c r="AV93" s="13">
        <f t="shared" si="86"/>
        <v>0</v>
      </c>
      <c r="AW93" s="143"/>
      <c r="AX93" s="143"/>
      <c r="AY93" s="13">
        <f t="shared" si="87"/>
        <v>0</v>
      </c>
      <c r="AZ93" s="143"/>
      <c r="BA93" s="143"/>
      <c r="BB93" s="13">
        <f t="shared" si="88"/>
        <v>0</v>
      </c>
      <c r="BC93" s="143"/>
      <c r="BD93" s="143"/>
      <c r="BE93" s="13">
        <f t="shared" si="89"/>
        <v>0</v>
      </c>
      <c r="BF93" s="143"/>
      <c r="BG93" s="143"/>
      <c r="BH93" s="13">
        <f t="shared" si="90"/>
        <v>0</v>
      </c>
      <c r="BI93" s="143"/>
      <c r="BJ93" s="143"/>
      <c r="BK93" s="13">
        <f t="shared" si="91"/>
        <v>0</v>
      </c>
      <c r="BL93" s="143"/>
      <c r="BM93" s="143"/>
      <c r="BN93" s="13">
        <f t="shared" si="92"/>
        <v>0</v>
      </c>
      <c r="BO93" s="143"/>
      <c r="BP93" s="143"/>
      <c r="BQ93" s="13">
        <f t="shared" si="93"/>
        <v>0</v>
      </c>
      <c r="BR93" s="143"/>
      <c r="BS93" s="143"/>
      <c r="BT93" s="13">
        <f t="shared" si="37"/>
        <v>0</v>
      </c>
      <c r="BU93" s="143"/>
      <c r="BV93" s="143"/>
      <c r="BW93" s="13">
        <f t="shared" si="94"/>
        <v>0</v>
      </c>
      <c r="BX93" s="143"/>
      <c r="BY93" s="143"/>
      <c r="BZ93" s="13">
        <f t="shared" si="103"/>
        <v>0</v>
      </c>
      <c r="CA93" s="143"/>
      <c r="CB93" s="143"/>
      <c r="CC93" s="13">
        <f t="shared" si="104"/>
        <v>0</v>
      </c>
      <c r="CD93" s="143"/>
      <c r="CE93" s="143"/>
      <c r="CF93" s="13">
        <f t="shared" si="105"/>
        <v>0</v>
      </c>
      <c r="CG93" s="143"/>
      <c r="CH93" s="143"/>
      <c r="CI93" s="13">
        <f t="shared" si="106"/>
        <v>0</v>
      </c>
      <c r="CJ93" s="143"/>
      <c r="CK93" s="143"/>
      <c r="CL93" s="13">
        <f t="shared" si="107"/>
        <v>0</v>
      </c>
      <c r="CM93" s="143"/>
      <c r="CN93" s="143"/>
      <c r="CO93" s="13">
        <f t="shared" si="108"/>
        <v>0</v>
      </c>
      <c r="CP93" s="143"/>
      <c r="CQ93" s="143"/>
      <c r="CR93" s="13">
        <f t="shared" si="109"/>
        <v>0</v>
      </c>
      <c r="CS93" s="62"/>
      <c r="CT93" s="143"/>
      <c r="CU93" s="14">
        <f t="shared" si="42"/>
        <v>0</v>
      </c>
      <c r="CV93" s="139">
        <f t="shared" si="43"/>
        <v>0</v>
      </c>
      <c r="CW93" s="140">
        <f t="shared" si="43"/>
        <v>0</v>
      </c>
      <c r="CX93" s="141">
        <f t="shared" si="95"/>
        <v>0</v>
      </c>
      <c r="CY93" s="166">
        <v>0</v>
      </c>
      <c r="CZ93" s="171">
        <f t="shared" si="45"/>
        <v>0</v>
      </c>
      <c r="DB93" s="2">
        <f t="shared" si="49"/>
        <v>0</v>
      </c>
      <c r="DC93" s="62"/>
      <c r="DD93" s="143"/>
      <c r="DE93" s="149">
        <f t="shared" si="50"/>
        <v>0</v>
      </c>
    </row>
    <row r="94" spans="1:109" ht="16.8" thickBot="1">
      <c r="B94" s="36"/>
      <c r="C94" s="104"/>
      <c r="D94" s="34"/>
      <c r="E94" s="9"/>
      <c r="F94" s="32"/>
      <c r="G94" s="21"/>
      <c r="H94" s="21"/>
      <c r="I94" s="15"/>
      <c r="J94" s="21"/>
      <c r="K94" s="21"/>
      <c r="L94" s="15"/>
      <c r="M94" s="21"/>
      <c r="N94" s="27"/>
      <c r="O94" s="15"/>
      <c r="P94" s="21"/>
      <c r="Q94" s="27"/>
      <c r="R94" s="15"/>
      <c r="S94" s="21"/>
      <c r="T94" s="21"/>
      <c r="U94" s="15"/>
      <c r="V94" s="21"/>
      <c r="W94" s="21"/>
      <c r="X94" s="15"/>
      <c r="Y94" s="21"/>
      <c r="Z94" s="21"/>
      <c r="AA94" s="15"/>
      <c r="AB94" s="21"/>
      <c r="AC94" s="21"/>
      <c r="AD94" s="15"/>
      <c r="AE94" s="21"/>
      <c r="AF94" s="27"/>
      <c r="AG94" s="15"/>
      <c r="AH94" s="21"/>
      <c r="AI94" s="27"/>
      <c r="AJ94" s="15"/>
      <c r="AK94" s="21"/>
      <c r="AL94" s="27"/>
      <c r="AM94" s="15"/>
      <c r="AN94" s="21"/>
      <c r="AO94" s="25"/>
      <c r="AP94" s="15"/>
      <c r="AQ94" s="21"/>
      <c r="AR94" s="27"/>
      <c r="AS94" s="21"/>
      <c r="AT94" s="21"/>
      <c r="AU94" s="21"/>
      <c r="AV94" s="15"/>
      <c r="AW94" s="21"/>
      <c r="AX94" s="27"/>
      <c r="AY94" s="15"/>
      <c r="AZ94" s="21"/>
      <c r="BA94" s="27"/>
      <c r="BB94" s="15"/>
      <c r="BC94" s="21"/>
      <c r="BD94" s="21"/>
      <c r="BE94" s="15"/>
      <c r="BF94" s="21"/>
      <c r="BG94" s="21"/>
      <c r="BH94" s="15"/>
      <c r="BI94" s="21"/>
      <c r="BJ94" s="27"/>
      <c r="BK94" s="15"/>
      <c r="BL94" s="21"/>
      <c r="BM94" s="21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41"/>
      <c r="BY94" s="15"/>
      <c r="BZ94" s="15"/>
      <c r="CA94" s="15"/>
      <c r="CB94" s="15"/>
      <c r="CC94" s="15"/>
      <c r="CD94" s="15"/>
      <c r="CE94" s="41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Y94" s="47" t="s">
        <v>127</v>
      </c>
      <c r="CZ94" s="173">
        <f>SUM(CZ5:CZ93)</f>
        <v>151156</v>
      </c>
      <c r="DA94" s="48"/>
    </row>
    <row r="95" spans="1:109">
      <c r="F95" s="32"/>
      <c r="G95" s="21"/>
      <c r="H95" s="21"/>
      <c r="I95" s="15"/>
      <c r="J95" s="21"/>
      <c r="K95" s="21"/>
      <c r="L95" s="15"/>
      <c r="M95" s="21"/>
      <c r="N95" s="27"/>
      <c r="O95" s="15"/>
      <c r="P95" s="21"/>
      <c r="Q95" s="27"/>
      <c r="R95" s="15"/>
      <c r="S95" s="21"/>
      <c r="T95" s="21"/>
      <c r="U95" s="15"/>
      <c r="V95" s="21"/>
      <c r="W95" s="21"/>
      <c r="X95" s="15"/>
      <c r="Y95" s="21"/>
      <c r="Z95" s="21"/>
      <c r="AA95" s="15"/>
      <c r="AB95" s="21"/>
      <c r="AC95" s="21"/>
      <c r="AD95" s="15"/>
      <c r="AE95" s="21"/>
      <c r="AF95" s="27"/>
      <c r="AG95" s="15"/>
      <c r="AH95" s="21"/>
      <c r="AI95" s="27"/>
      <c r="AJ95" s="15"/>
      <c r="AK95" s="21"/>
      <c r="AL95" s="27"/>
      <c r="AM95" s="15"/>
      <c r="AN95" s="21"/>
      <c r="AO95" s="25"/>
      <c r="AP95" s="15"/>
      <c r="AQ95" s="21"/>
      <c r="AR95" s="27"/>
      <c r="AS95" s="21"/>
      <c r="AT95" s="21"/>
      <c r="AU95" s="21"/>
      <c r="AV95" s="15"/>
      <c r="AW95" s="21"/>
      <c r="AX95" s="27"/>
      <c r="AY95" s="15"/>
      <c r="AZ95" s="21"/>
      <c r="BA95" s="27"/>
      <c r="BB95" s="15"/>
      <c r="BC95" s="21"/>
      <c r="BD95" s="21"/>
      <c r="BE95" s="15"/>
      <c r="BF95" s="21"/>
      <c r="BG95" s="21"/>
      <c r="BH95" s="15"/>
      <c r="BI95" s="21"/>
      <c r="BJ95" s="27"/>
      <c r="BK95" s="15"/>
      <c r="BL95" s="21"/>
      <c r="BM95" s="21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41"/>
      <c r="BY95" s="15"/>
      <c r="BZ95" s="15"/>
      <c r="CA95" s="15"/>
      <c r="CB95" s="15"/>
      <c r="CC95" s="15"/>
      <c r="CD95" s="15"/>
      <c r="CE95" s="41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Z95" s="174">
        <f>CZ94*1.08</f>
        <v>163248.48000000001</v>
      </c>
    </row>
    <row r="96" spans="1:109">
      <c r="F96" s="32"/>
      <c r="G96" s="21"/>
      <c r="H96" s="21"/>
      <c r="I96" s="15"/>
      <c r="J96" s="21"/>
      <c r="K96" s="21"/>
      <c r="L96" s="15"/>
      <c r="M96" s="21"/>
      <c r="N96" s="27"/>
      <c r="O96" s="15"/>
      <c r="P96" s="21"/>
      <c r="Q96" s="27"/>
      <c r="R96" s="15"/>
      <c r="S96" s="21"/>
      <c r="T96" s="21"/>
      <c r="U96" s="15"/>
      <c r="V96" s="21"/>
      <c r="W96" s="21"/>
      <c r="X96" s="15"/>
      <c r="Y96" s="21"/>
      <c r="Z96" s="21"/>
      <c r="AA96" s="15"/>
      <c r="AB96" s="21"/>
      <c r="AC96" s="21"/>
      <c r="AD96" s="15"/>
      <c r="AE96" s="21"/>
      <c r="AF96" s="27"/>
      <c r="AG96" s="15"/>
      <c r="AH96" s="21"/>
      <c r="AI96" s="27"/>
      <c r="AJ96" s="15"/>
      <c r="AK96" s="21"/>
      <c r="AL96" s="27"/>
      <c r="AM96" s="15"/>
      <c r="AN96" s="21"/>
      <c r="AO96" s="25"/>
      <c r="AP96" s="15"/>
      <c r="AQ96" s="21"/>
      <c r="AR96" s="27"/>
      <c r="AS96" s="21"/>
      <c r="AT96" s="21"/>
      <c r="AU96" s="21"/>
      <c r="AV96" s="15"/>
      <c r="AW96" s="21"/>
      <c r="AX96" s="27"/>
      <c r="AY96" s="15"/>
      <c r="AZ96" s="21"/>
      <c r="BA96" s="27"/>
      <c r="BB96" s="15"/>
      <c r="BC96" s="21"/>
      <c r="BD96" s="21"/>
      <c r="BE96" s="15"/>
      <c r="BF96" s="21"/>
      <c r="BG96" s="21"/>
      <c r="BH96" s="15"/>
      <c r="BI96" s="21"/>
      <c r="BJ96" s="27"/>
      <c r="BK96" s="15"/>
      <c r="BL96" s="21"/>
      <c r="BM96" s="21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41"/>
      <c r="BY96" s="15"/>
      <c r="BZ96" s="15"/>
      <c r="CA96" s="15"/>
      <c r="CB96" s="15"/>
      <c r="CC96" s="15"/>
      <c r="CD96" s="15"/>
      <c r="CE96" s="41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</row>
    <row r="97" spans="6:99">
      <c r="F97" s="32"/>
      <c r="G97" s="21"/>
      <c r="H97" s="21"/>
      <c r="I97" s="15"/>
      <c r="J97" s="21"/>
      <c r="K97" s="21"/>
      <c r="L97" s="15"/>
      <c r="M97" s="21"/>
      <c r="N97" s="27"/>
      <c r="O97" s="15"/>
      <c r="P97" s="21"/>
      <c r="Q97" s="27"/>
      <c r="R97" s="15"/>
      <c r="S97" s="21"/>
      <c r="T97" s="21"/>
      <c r="U97" s="15"/>
      <c r="V97" s="21"/>
      <c r="W97" s="21"/>
      <c r="X97" s="15"/>
      <c r="Y97" s="21"/>
      <c r="Z97" s="21"/>
      <c r="AA97" s="15"/>
      <c r="AB97" s="21"/>
      <c r="AC97" s="21"/>
      <c r="AD97" s="15"/>
      <c r="AE97" s="21"/>
      <c r="AF97" s="27"/>
      <c r="AG97" s="15"/>
      <c r="AH97" s="21"/>
      <c r="AI97" s="27"/>
      <c r="AJ97" s="15"/>
      <c r="AK97" s="21"/>
      <c r="AL97" s="27"/>
      <c r="AM97" s="15"/>
      <c r="AN97" s="21"/>
      <c r="AO97" s="25"/>
      <c r="AP97" s="15"/>
      <c r="AQ97" s="21"/>
      <c r="AR97" s="27"/>
      <c r="AS97" s="21"/>
      <c r="AT97" s="21"/>
      <c r="AU97" s="21"/>
      <c r="AV97" s="15"/>
      <c r="AW97" s="21"/>
      <c r="AX97" s="27"/>
      <c r="AY97" s="15"/>
      <c r="AZ97" s="21"/>
      <c r="BA97" s="27"/>
      <c r="BB97" s="15"/>
      <c r="BC97" s="21"/>
      <c r="BD97" s="21"/>
      <c r="BE97" s="15"/>
      <c r="BF97" s="21"/>
      <c r="BG97" s="21"/>
      <c r="BH97" s="15"/>
      <c r="BI97" s="21"/>
      <c r="BJ97" s="27"/>
      <c r="BK97" s="15"/>
      <c r="BL97" s="21"/>
      <c r="BM97" s="21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41"/>
      <c r="BY97" s="15"/>
      <c r="BZ97" s="15"/>
      <c r="CA97" s="15"/>
      <c r="CB97" s="15"/>
      <c r="CC97" s="15"/>
      <c r="CD97" s="15"/>
      <c r="CE97" s="41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</row>
    <row r="98" spans="6:99">
      <c r="F98" s="32"/>
      <c r="G98" s="21"/>
      <c r="H98" s="21"/>
      <c r="I98" s="15"/>
      <c r="J98" s="21"/>
      <c r="K98" s="21"/>
      <c r="L98" s="15"/>
      <c r="M98" s="21"/>
      <c r="N98" s="27"/>
      <c r="O98" s="15"/>
      <c r="P98" s="21"/>
      <c r="Q98" s="27"/>
      <c r="R98" s="15"/>
      <c r="S98" s="21"/>
      <c r="T98" s="21"/>
      <c r="U98" s="15"/>
      <c r="V98" s="21"/>
      <c r="W98" s="21"/>
      <c r="X98" s="15"/>
      <c r="Y98" s="21"/>
      <c r="Z98" s="21"/>
      <c r="AA98" s="15"/>
      <c r="AB98" s="21"/>
      <c r="AC98" s="21"/>
      <c r="AD98" s="15"/>
      <c r="AE98" s="21"/>
      <c r="AF98" s="27"/>
      <c r="AG98" s="15"/>
      <c r="AH98" s="21"/>
      <c r="AI98" s="27"/>
      <c r="AJ98" s="15"/>
      <c r="AK98" s="21"/>
      <c r="AL98" s="27"/>
      <c r="AM98" s="15"/>
      <c r="AN98" s="21"/>
      <c r="AO98" s="25"/>
      <c r="AP98" s="15"/>
      <c r="AQ98" s="21"/>
      <c r="AR98" s="27"/>
      <c r="AS98" s="21"/>
      <c r="AT98" s="21"/>
      <c r="AU98" s="21"/>
      <c r="AV98" s="15"/>
      <c r="AW98" s="21"/>
      <c r="AX98" s="27"/>
      <c r="AY98" s="15"/>
      <c r="AZ98" s="21"/>
      <c r="BA98" s="27"/>
      <c r="BB98" s="15"/>
      <c r="BC98" s="21"/>
      <c r="BD98" s="21"/>
      <c r="BE98" s="15"/>
      <c r="BF98" s="21"/>
      <c r="BG98" s="21"/>
      <c r="BH98" s="15"/>
      <c r="BI98" s="21"/>
      <c r="BJ98" s="27"/>
      <c r="BK98" s="15"/>
      <c r="BL98" s="21"/>
      <c r="BM98" s="21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41"/>
      <c r="BY98" s="15"/>
      <c r="BZ98" s="15"/>
      <c r="CA98" s="15"/>
      <c r="CB98" s="15"/>
      <c r="CC98" s="15"/>
      <c r="CD98" s="15"/>
      <c r="CE98" s="41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</row>
    <row r="99" spans="6:99">
      <c r="F99" s="32"/>
      <c r="G99" s="21"/>
      <c r="H99" s="21"/>
      <c r="I99" s="15"/>
      <c r="J99" s="21"/>
      <c r="K99" s="21"/>
      <c r="L99" s="15"/>
      <c r="M99" s="21"/>
      <c r="N99" s="27"/>
      <c r="O99" s="15"/>
      <c r="P99" s="21"/>
      <c r="Q99" s="27"/>
      <c r="R99" s="15"/>
      <c r="S99" s="21"/>
      <c r="T99" s="21"/>
      <c r="U99" s="15"/>
      <c r="V99" s="21"/>
      <c r="W99" s="21"/>
      <c r="X99" s="15"/>
      <c r="Y99" s="21"/>
      <c r="Z99" s="21"/>
      <c r="AA99" s="15"/>
      <c r="AB99" s="21"/>
      <c r="AC99" s="21"/>
      <c r="AD99" s="15"/>
      <c r="AE99" s="21"/>
      <c r="AF99" s="27"/>
      <c r="AG99" s="15"/>
      <c r="AH99" s="21"/>
      <c r="AI99" s="27"/>
      <c r="AJ99" s="15"/>
      <c r="AK99" s="21"/>
      <c r="AL99" s="27"/>
      <c r="AM99" s="15"/>
      <c r="AN99" s="21"/>
      <c r="AO99" s="25"/>
      <c r="AP99" s="15"/>
      <c r="AQ99" s="21"/>
      <c r="AR99" s="27"/>
      <c r="AS99" s="21"/>
      <c r="AT99" s="21"/>
      <c r="AU99" s="21"/>
      <c r="AV99" s="15"/>
      <c r="AW99" s="21"/>
      <c r="AX99" s="27"/>
      <c r="AY99" s="15"/>
      <c r="AZ99" s="21"/>
      <c r="BA99" s="27"/>
      <c r="BB99" s="15"/>
      <c r="BC99" s="21"/>
      <c r="BD99" s="21"/>
      <c r="BE99" s="15"/>
      <c r="BF99" s="21"/>
      <c r="BG99" s="21"/>
      <c r="BH99" s="15"/>
      <c r="BI99" s="21"/>
      <c r="BJ99" s="27"/>
      <c r="BK99" s="15"/>
      <c r="BL99" s="21"/>
      <c r="BM99" s="21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41"/>
      <c r="BY99" s="15"/>
      <c r="BZ99" s="15"/>
      <c r="CA99" s="15"/>
      <c r="CB99" s="15"/>
      <c r="CC99" s="15"/>
      <c r="CD99" s="15"/>
      <c r="CE99" s="41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</row>
    <row r="100" spans="6:99">
      <c r="F100" s="32"/>
      <c r="G100" s="21"/>
      <c r="H100" s="21"/>
      <c r="I100" s="15"/>
      <c r="J100" s="21"/>
      <c r="K100" s="21"/>
      <c r="L100" s="15"/>
      <c r="M100" s="21"/>
      <c r="N100" s="27"/>
      <c r="O100" s="15"/>
      <c r="P100" s="21"/>
      <c r="Q100" s="27"/>
      <c r="R100" s="15"/>
      <c r="S100" s="21"/>
      <c r="T100" s="21"/>
      <c r="U100" s="15"/>
      <c r="V100" s="21"/>
      <c r="W100" s="21"/>
      <c r="X100" s="15"/>
      <c r="Y100" s="21"/>
      <c r="Z100" s="21"/>
      <c r="AA100" s="15"/>
      <c r="AB100" s="21"/>
      <c r="AC100" s="21"/>
      <c r="AD100" s="15"/>
      <c r="AE100" s="21"/>
      <c r="AF100" s="27"/>
      <c r="AG100" s="15"/>
      <c r="AH100" s="21"/>
      <c r="AI100" s="27"/>
      <c r="AJ100" s="15"/>
      <c r="AK100" s="21"/>
      <c r="AL100" s="27"/>
      <c r="AM100" s="15"/>
      <c r="AN100" s="21"/>
      <c r="AO100" s="25"/>
      <c r="AP100" s="15"/>
      <c r="AQ100" s="21"/>
      <c r="AR100" s="27"/>
      <c r="AS100" s="21"/>
      <c r="AT100" s="21"/>
      <c r="AU100" s="21"/>
      <c r="AV100" s="15"/>
      <c r="AW100" s="21"/>
      <c r="AX100" s="27"/>
      <c r="AY100" s="15"/>
      <c r="AZ100" s="21"/>
      <c r="BA100" s="27"/>
      <c r="BB100" s="15"/>
      <c r="BC100" s="21"/>
      <c r="BD100" s="21"/>
      <c r="BE100" s="15"/>
      <c r="BF100" s="21"/>
      <c r="BG100" s="21"/>
      <c r="BH100" s="15"/>
      <c r="BI100" s="21"/>
      <c r="BJ100" s="27"/>
      <c r="BK100" s="15"/>
      <c r="BL100" s="21"/>
      <c r="BM100" s="21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41"/>
      <c r="BY100" s="15"/>
      <c r="BZ100" s="15"/>
      <c r="CA100" s="15"/>
      <c r="CB100" s="15"/>
      <c r="CC100" s="15"/>
      <c r="CD100" s="15"/>
      <c r="CE100" s="41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</row>
    <row r="101" spans="6:99">
      <c r="F101" s="32"/>
      <c r="G101" s="21"/>
      <c r="H101" s="21"/>
      <c r="I101" s="15"/>
      <c r="J101" s="21"/>
      <c r="K101" s="21"/>
      <c r="L101" s="15"/>
      <c r="M101" s="21"/>
      <c r="N101" s="27"/>
      <c r="O101" s="15"/>
      <c r="P101" s="21"/>
      <c r="Q101" s="27"/>
      <c r="R101" s="15"/>
      <c r="S101" s="21"/>
      <c r="T101" s="21"/>
      <c r="U101" s="15"/>
      <c r="V101" s="21"/>
      <c r="W101" s="21"/>
      <c r="X101" s="15"/>
      <c r="Y101" s="21"/>
      <c r="Z101" s="21"/>
      <c r="AA101" s="15"/>
      <c r="AB101" s="21"/>
      <c r="AC101" s="21"/>
      <c r="AD101" s="15"/>
      <c r="AE101" s="21"/>
      <c r="AF101" s="27"/>
      <c r="AG101" s="15"/>
      <c r="AH101" s="21"/>
      <c r="AI101" s="27"/>
      <c r="AJ101" s="15"/>
      <c r="AK101" s="21"/>
      <c r="AL101" s="27"/>
      <c r="AM101" s="15"/>
      <c r="AN101" s="21"/>
      <c r="AO101" s="25"/>
      <c r="AP101" s="15"/>
      <c r="AQ101" s="21"/>
      <c r="AR101" s="27"/>
      <c r="AS101" s="21"/>
      <c r="AT101" s="21"/>
      <c r="AU101" s="21"/>
      <c r="AV101" s="15"/>
      <c r="AW101" s="21"/>
      <c r="AX101" s="27"/>
      <c r="AY101" s="15"/>
      <c r="AZ101" s="21"/>
      <c r="BA101" s="27"/>
      <c r="BB101" s="15"/>
      <c r="BC101" s="21"/>
      <c r="BD101" s="21"/>
      <c r="BE101" s="15"/>
      <c r="BF101" s="21"/>
      <c r="BG101" s="21"/>
      <c r="BH101" s="15"/>
      <c r="BI101" s="21"/>
      <c r="BJ101" s="27"/>
      <c r="BK101" s="15"/>
      <c r="BL101" s="21"/>
      <c r="BM101" s="21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41"/>
      <c r="BY101" s="15"/>
      <c r="BZ101" s="15"/>
      <c r="CA101" s="15"/>
      <c r="CB101" s="15"/>
      <c r="CC101" s="15"/>
      <c r="CD101" s="15"/>
      <c r="CE101" s="41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</row>
    <row r="102" spans="6:99">
      <c r="F102" s="32"/>
      <c r="G102" s="21"/>
      <c r="H102" s="21"/>
      <c r="I102" s="15"/>
      <c r="J102" s="21"/>
      <c r="K102" s="21"/>
      <c r="L102" s="15"/>
      <c r="M102" s="21"/>
      <c r="N102" s="27"/>
      <c r="O102" s="15"/>
      <c r="P102" s="21"/>
      <c r="Q102" s="27"/>
      <c r="R102" s="15"/>
      <c r="S102" s="21"/>
      <c r="T102" s="21"/>
      <c r="U102" s="15"/>
      <c r="V102" s="21"/>
      <c r="W102" s="21"/>
      <c r="X102" s="15"/>
      <c r="Y102" s="21"/>
      <c r="Z102" s="21"/>
      <c r="AA102" s="15"/>
      <c r="AB102" s="21"/>
      <c r="AC102" s="21"/>
      <c r="AD102" s="15"/>
      <c r="AE102" s="21"/>
      <c r="AF102" s="27"/>
      <c r="AG102" s="15"/>
      <c r="AH102" s="21"/>
      <c r="AI102" s="27"/>
      <c r="AJ102" s="15"/>
      <c r="AK102" s="21"/>
      <c r="AL102" s="27"/>
      <c r="AM102" s="15"/>
      <c r="AN102" s="21"/>
      <c r="AO102" s="25"/>
      <c r="AP102" s="15"/>
      <c r="AQ102" s="21"/>
      <c r="AR102" s="27"/>
      <c r="AS102" s="21"/>
      <c r="AT102" s="21"/>
      <c r="AU102" s="21"/>
      <c r="AV102" s="15"/>
      <c r="AW102" s="21"/>
      <c r="AX102" s="27"/>
      <c r="AY102" s="15"/>
      <c r="AZ102" s="21"/>
      <c r="BA102" s="27"/>
      <c r="BB102" s="15"/>
      <c r="BC102" s="21"/>
      <c r="BD102" s="21"/>
      <c r="BE102" s="15"/>
      <c r="BF102" s="21"/>
      <c r="BG102" s="21"/>
      <c r="BH102" s="15"/>
      <c r="BI102" s="21"/>
      <c r="BJ102" s="27"/>
      <c r="BK102" s="15"/>
      <c r="BL102" s="21"/>
      <c r="BM102" s="21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41"/>
      <c r="BY102" s="15"/>
      <c r="BZ102" s="15"/>
      <c r="CA102" s="15"/>
      <c r="CB102" s="15"/>
      <c r="CC102" s="15"/>
      <c r="CD102" s="15"/>
      <c r="CE102" s="41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</row>
    <row r="103" spans="6:99">
      <c r="F103" s="32"/>
      <c r="G103" s="21"/>
      <c r="H103" s="21"/>
      <c r="I103" s="15"/>
      <c r="J103" s="21"/>
      <c r="K103" s="21"/>
      <c r="L103" s="15"/>
      <c r="M103" s="21"/>
      <c r="N103" s="27"/>
      <c r="O103" s="15"/>
      <c r="P103" s="21"/>
      <c r="Q103" s="27"/>
      <c r="R103" s="15"/>
      <c r="S103" s="21"/>
      <c r="T103" s="21"/>
      <c r="U103" s="15"/>
      <c r="V103" s="21"/>
      <c r="W103" s="21"/>
      <c r="X103" s="15"/>
      <c r="Y103" s="21"/>
      <c r="Z103" s="21"/>
      <c r="AA103" s="15"/>
      <c r="AB103" s="21"/>
      <c r="AC103" s="21"/>
      <c r="AD103" s="15"/>
      <c r="AE103" s="21"/>
      <c r="AF103" s="27"/>
      <c r="AG103" s="15"/>
      <c r="AH103" s="21"/>
      <c r="AI103" s="27"/>
      <c r="AJ103" s="15"/>
      <c r="AK103" s="21"/>
      <c r="AL103" s="27"/>
      <c r="AM103" s="15"/>
      <c r="AN103" s="21"/>
      <c r="AO103" s="25"/>
      <c r="AP103" s="15"/>
      <c r="AQ103" s="21"/>
      <c r="AR103" s="27"/>
      <c r="AS103" s="21"/>
      <c r="AT103" s="21"/>
      <c r="AU103" s="21"/>
      <c r="AV103" s="15"/>
      <c r="AW103" s="21"/>
      <c r="AX103" s="27"/>
      <c r="AY103" s="15"/>
      <c r="AZ103" s="21"/>
      <c r="BA103" s="27"/>
      <c r="BB103" s="15"/>
      <c r="BC103" s="21"/>
      <c r="BD103" s="21"/>
      <c r="BE103" s="15"/>
      <c r="BF103" s="21"/>
      <c r="BG103" s="21"/>
      <c r="BH103" s="15"/>
      <c r="BI103" s="21"/>
      <c r="BJ103" s="27"/>
      <c r="BK103" s="15"/>
      <c r="BL103" s="21"/>
      <c r="BM103" s="21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41"/>
      <c r="BY103" s="15"/>
      <c r="BZ103" s="15"/>
      <c r="CA103" s="15"/>
      <c r="CB103" s="15"/>
      <c r="CC103" s="15"/>
      <c r="CD103" s="15"/>
      <c r="CE103" s="41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</row>
    <row r="104" spans="6:99">
      <c r="F104" s="32"/>
      <c r="G104" s="21"/>
      <c r="H104" s="21"/>
      <c r="I104" s="15"/>
      <c r="J104" s="21"/>
      <c r="K104" s="21"/>
      <c r="L104" s="15"/>
      <c r="M104" s="21"/>
      <c r="N104" s="27"/>
      <c r="O104" s="15"/>
      <c r="P104" s="21"/>
      <c r="Q104" s="27"/>
      <c r="R104" s="15"/>
      <c r="S104" s="21"/>
      <c r="T104" s="21"/>
      <c r="U104" s="15"/>
      <c r="V104" s="21"/>
      <c r="W104" s="21"/>
      <c r="X104" s="15"/>
      <c r="Y104" s="21"/>
      <c r="Z104" s="21"/>
      <c r="AA104" s="15"/>
      <c r="AB104" s="21"/>
      <c r="AC104" s="21"/>
      <c r="AD104" s="15"/>
      <c r="AE104" s="21"/>
      <c r="AF104" s="27"/>
      <c r="AG104" s="15"/>
      <c r="AH104" s="21"/>
      <c r="AI104" s="27"/>
      <c r="AJ104" s="15"/>
      <c r="AK104" s="21"/>
      <c r="AL104" s="27"/>
      <c r="AM104" s="15"/>
      <c r="AN104" s="21"/>
      <c r="AO104" s="25"/>
      <c r="AP104" s="15"/>
      <c r="AQ104" s="21"/>
      <c r="AR104" s="27"/>
      <c r="AS104" s="21"/>
      <c r="AT104" s="21"/>
      <c r="AU104" s="21"/>
      <c r="AV104" s="15"/>
      <c r="AW104" s="21"/>
      <c r="AX104" s="27"/>
      <c r="AY104" s="15"/>
      <c r="AZ104" s="21"/>
      <c r="BA104" s="27"/>
      <c r="BB104" s="15"/>
      <c r="BC104" s="21"/>
      <c r="BD104" s="21"/>
      <c r="BE104" s="15"/>
      <c r="BF104" s="21"/>
      <c r="BG104" s="21"/>
      <c r="BH104" s="15"/>
      <c r="BI104" s="21"/>
      <c r="BJ104" s="27"/>
      <c r="BK104" s="15"/>
      <c r="BL104" s="21"/>
      <c r="BM104" s="21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41"/>
      <c r="BY104" s="15"/>
      <c r="BZ104" s="15"/>
      <c r="CA104" s="15"/>
      <c r="CB104" s="15"/>
      <c r="CC104" s="15"/>
      <c r="CD104" s="15"/>
      <c r="CE104" s="41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</row>
    <row r="105" spans="6:99">
      <c r="F105" s="32"/>
      <c r="G105" s="21"/>
      <c r="H105" s="21"/>
      <c r="I105" s="15"/>
      <c r="J105" s="21"/>
      <c r="K105" s="21"/>
      <c r="L105" s="15"/>
      <c r="M105" s="21"/>
      <c r="N105" s="27"/>
      <c r="O105" s="15"/>
      <c r="P105" s="21"/>
      <c r="Q105" s="27"/>
      <c r="R105" s="15"/>
      <c r="S105" s="21"/>
      <c r="T105" s="21"/>
      <c r="U105" s="15"/>
      <c r="V105" s="21"/>
      <c r="W105" s="21"/>
      <c r="X105" s="15"/>
      <c r="Y105" s="21"/>
      <c r="Z105" s="21"/>
      <c r="AA105" s="15"/>
      <c r="AB105" s="21"/>
      <c r="AC105" s="21"/>
      <c r="AD105" s="15"/>
      <c r="AE105" s="21"/>
      <c r="AF105" s="27"/>
      <c r="AG105" s="15"/>
      <c r="AH105" s="21"/>
      <c r="AI105" s="27"/>
      <c r="AJ105" s="15"/>
      <c r="AK105" s="21"/>
      <c r="AL105" s="27"/>
      <c r="AM105" s="15"/>
      <c r="AN105" s="21"/>
      <c r="AO105" s="25"/>
      <c r="AP105" s="15"/>
      <c r="AQ105" s="21"/>
      <c r="AR105" s="27"/>
      <c r="AS105" s="21"/>
      <c r="AT105" s="21"/>
      <c r="AU105" s="21"/>
      <c r="AV105" s="15"/>
      <c r="AW105" s="21"/>
      <c r="AX105" s="27"/>
      <c r="AY105" s="15"/>
      <c r="AZ105" s="21"/>
      <c r="BA105" s="27"/>
      <c r="BB105" s="15"/>
      <c r="BC105" s="21"/>
      <c r="BD105" s="21"/>
      <c r="BE105" s="15"/>
      <c r="BF105" s="21"/>
      <c r="BG105" s="21"/>
      <c r="BH105" s="15"/>
      <c r="BI105" s="21"/>
      <c r="BJ105" s="27"/>
      <c r="BK105" s="15"/>
      <c r="BL105" s="21"/>
      <c r="BM105" s="21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41"/>
      <c r="BY105" s="15"/>
      <c r="BZ105" s="15"/>
      <c r="CA105" s="15"/>
      <c r="CB105" s="15"/>
      <c r="CC105" s="15"/>
      <c r="CD105" s="15"/>
      <c r="CE105" s="41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</row>
    <row r="106" spans="6:99">
      <c r="F106" s="32"/>
      <c r="G106" s="21"/>
      <c r="H106" s="21"/>
      <c r="I106" s="15"/>
      <c r="J106" s="21"/>
      <c r="K106" s="21"/>
      <c r="L106" s="15"/>
      <c r="M106" s="21"/>
      <c r="N106" s="27"/>
      <c r="O106" s="15"/>
      <c r="P106" s="21"/>
      <c r="Q106" s="27"/>
      <c r="R106" s="15"/>
      <c r="S106" s="21"/>
      <c r="T106" s="21"/>
      <c r="U106" s="15"/>
      <c r="V106" s="21"/>
      <c r="W106" s="21"/>
      <c r="X106" s="15"/>
      <c r="Y106" s="21"/>
      <c r="Z106" s="21"/>
      <c r="AA106" s="15"/>
      <c r="AB106" s="21"/>
      <c r="AC106" s="21"/>
      <c r="AD106" s="15"/>
      <c r="AE106" s="21"/>
      <c r="AF106" s="27"/>
      <c r="AG106" s="15"/>
      <c r="AH106" s="21"/>
      <c r="AI106" s="27"/>
      <c r="AJ106" s="15"/>
      <c r="AK106" s="21"/>
      <c r="AL106" s="27"/>
      <c r="AM106" s="15"/>
      <c r="AN106" s="21"/>
      <c r="AO106" s="25"/>
      <c r="AP106" s="15"/>
      <c r="AQ106" s="21"/>
      <c r="AR106" s="27"/>
      <c r="AS106" s="21"/>
      <c r="AT106" s="21"/>
      <c r="AU106" s="21"/>
      <c r="AV106" s="15"/>
      <c r="AW106" s="21"/>
      <c r="AX106" s="27"/>
      <c r="AY106" s="15"/>
      <c r="AZ106" s="21"/>
      <c r="BA106" s="27"/>
      <c r="BB106" s="15"/>
      <c r="BC106" s="21"/>
      <c r="BD106" s="21"/>
      <c r="BE106" s="15"/>
      <c r="BF106" s="21"/>
      <c r="BG106" s="21"/>
      <c r="BH106" s="15"/>
      <c r="BI106" s="21"/>
      <c r="BJ106" s="27"/>
      <c r="BK106" s="15"/>
      <c r="BL106" s="21"/>
      <c r="BM106" s="21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41"/>
      <c r="BY106" s="15"/>
      <c r="BZ106" s="15"/>
      <c r="CA106" s="15"/>
      <c r="CB106" s="15"/>
      <c r="CC106" s="15"/>
      <c r="CD106" s="15"/>
      <c r="CE106" s="41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</row>
    <row r="107" spans="6:99">
      <c r="F107" s="32"/>
      <c r="G107" s="21"/>
      <c r="H107" s="21"/>
      <c r="I107" s="15"/>
      <c r="J107" s="21"/>
      <c r="K107" s="21"/>
      <c r="L107" s="15"/>
      <c r="M107" s="21"/>
      <c r="N107" s="27"/>
      <c r="O107" s="15"/>
      <c r="P107" s="21"/>
      <c r="Q107" s="27"/>
      <c r="R107" s="15"/>
      <c r="S107" s="21"/>
      <c r="T107" s="21"/>
      <c r="U107" s="15"/>
      <c r="V107" s="21"/>
      <c r="W107" s="21"/>
      <c r="X107" s="15"/>
      <c r="Y107" s="21"/>
      <c r="Z107" s="21"/>
      <c r="AA107" s="15"/>
      <c r="AB107" s="21"/>
      <c r="AC107" s="21"/>
      <c r="AD107" s="15"/>
      <c r="AE107" s="21"/>
      <c r="AF107" s="27"/>
      <c r="AG107" s="15"/>
      <c r="AH107" s="21"/>
      <c r="AI107" s="27"/>
      <c r="AJ107" s="15"/>
      <c r="AK107" s="21"/>
      <c r="AL107" s="27"/>
      <c r="AM107" s="15"/>
      <c r="AN107" s="21"/>
      <c r="AO107" s="25"/>
      <c r="AP107" s="15"/>
      <c r="AQ107" s="21"/>
      <c r="AR107" s="27"/>
      <c r="AS107" s="21"/>
      <c r="AT107" s="21"/>
      <c r="AU107" s="21"/>
      <c r="AV107" s="15"/>
      <c r="AW107" s="21"/>
      <c r="AX107" s="27"/>
      <c r="AY107" s="15"/>
      <c r="AZ107" s="21"/>
      <c r="BA107" s="27"/>
      <c r="BB107" s="15"/>
      <c r="BC107" s="21"/>
      <c r="BD107" s="21"/>
      <c r="BE107" s="15"/>
      <c r="BF107" s="21"/>
      <c r="BG107" s="21"/>
      <c r="BH107" s="15"/>
      <c r="BI107" s="21"/>
      <c r="BJ107" s="27"/>
      <c r="BK107" s="15"/>
      <c r="BL107" s="21"/>
      <c r="BM107" s="21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41"/>
      <c r="BY107" s="15"/>
      <c r="BZ107" s="15"/>
      <c r="CA107" s="15"/>
      <c r="CB107" s="15"/>
      <c r="CC107" s="15"/>
      <c r="CD107" s="15"/>
      <c r="CE107" s="41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</row>
    <row r="108" spans="6:99">
      <c r="F108" s="32"/>
      <c r="G108" s="21"/>
      <c r="H108" s="21"/>
      <c r="I108" s="15"/>
      <c r="J108" s="21"/>
      <c r="K108" s="21"/>
      <c r="L108" s="15"/>
      <c r="M108" s="21"/>
      <c r="N108" s="27"/>
      <c r="O108" s="15"/>
      <c r="P108" s="21"/>
      <c r="Q108" s="27"/>
      <c r="R108" s="15"/>
      <c r="S108" s="21"/>
      <c r="T108" s="21"/>
      <c r="U108" s="15"/>
      <c r="V108" s="21"/>
      <c r="W108" s="21"/>
      <c r="X108" s="15"/>
      <c r="Y108" s="21"/>
      <c r="Z108" s="21"/>
      <c r="AA108" s="15"/>
      <c r="AB108" s="21"/>
      <c r="AC108" s="21"/>
      <c r="AD108" s="15"/>
      <c r="AE108" s="21"/>
      <c r="AF108" s="27"/>
      <c r="AG108" s="15"/>
      <c r="AH108" s="21"/>
      <c r="AI108" s="27"/>
      <c r="AJ108" s="15"/>
      <c r="AK108" s="21"/>
      <c r="AL108" s="27"/>
      <c r="AM108" s="15"/>
      <c r="AN108" s="21"/>
      <c r="AO108" s="25"/>
      <c r="AP108" s="15"/>
      <c r="AQ108" s="21"/>
      <c r="AR108" s="27"/>
      <c r="AS108" s="21"/>
      <c r="AT108" s="21"/>
      <c r="AU108" s="21"/>
      <c r="AV108" s="15"/>
      <c r="AW108" s="21"/>
      <c r="AX108" s="27"/>
      <c r="AY108" s="15"/>
      <c r="AZ108" s="21"/>
      <c r="BA108" s="27"/>
      <c r="BB108" s="15"/>
      <c r="BC108" s="21"/>
      <c r="BD108" s="21"/>
      <c r="BE108" s="15"/>
      <c r="BF108" s="21"/>
      <c r="BG108" s="21"/>
      <c r="BH108" s="15"/>
      <c r="BI108" s="21"/>
      <c r="BJ108" s="27"/>
      <c r="BK108" s="15"/>
      <c r="BL108" s="21"/>
      <c r="BM108" s="21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41"/>
      <c r="BY108" s="15"/>
      <c r="BZ108" s="15"/>
      <c r="CA108" s="15"/>
      <c r="CB108" s="15"/>
      <c r="CC108" s="15"/>
      <c r="CD108" s="15"/>
      <c r="CE108" s="41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</row>
    <row r="109" spans="6:99">
      <c r="F109" s="32"/>
      <c r="G109" s="21"/>
      <c r="H109" s="21"/>
      <c r="I109" s="15"/>
      <c r="J109" s="21"/>
      <c r="K109" s="21"/>
      <c r="L109" s="15"/>
      <c r="M109" s="21"/>
      <c r="N109" s="27"/>
      <c r="O109" s="15"/>
      <c r="P109" s="21"/>
      <c r="Q109" s="27"/>
      <c r="R109" s="15"/>
      <c r="S109" s="21"/>
      <c r="T109" s="21"/>
      <c r="U109" s="15"/>
      <c r="V109" s="21"/>
      <c r="W109" s="21"/>
      <c r="X109" s="15"/>
      <c r="Y109" s="21"/>
      <c r="Z109" s="21"/>
      <c r="AA109" s="15"/>
      <c r="AB109" s="21"/>
      <c r="AC109" s="21"/>
      <c r="AD109" s="15"/>
      <c r="AE109" s="21"/>
      <c r="AF109" s="27"/>
      <c r="AG109" s="15"/>
      <c r="AH109" s="21"/>
      <c r="AI109" s="27"/>
      <c r="AJ109" s="15"/>
      <c r="AK109" s="21"/>
      <c r="AL109" s="27"/>
      <c r="AM109" s="15"/>
      <c r="AN109" s="21"/>
      <c r="AO109" s="25"/>
      <c r="AP109" s="15"/>
      <c r="AQ109" s="21"/>
      <c r="AR109" s="27"/>
      <c r="AS109" s="21"/>
      <c r="AT109" s="21"/>
      <c r="AU109" s="21"/>
      <c r="AV109" s="15"/>
      <c r="AW109" s="21"/>
      <c r="AX109" s="27"/>
      <c r="AY109" s="15"/>
      <c r="AZ109" s="21"/>
      <c r="BA109" s="27"/>
      <c r="BB109" s="15"/>
      <c r="BC109" s="21"/>
      <c r="BD109" s="21"/>
      <c r="BE109" s="15"/>
      <c r="BF109" s="21"/>
      <c r="BG109" s="21"/>
      <c r="BH109" s="15"/>
      <c r="BI109" s="21"/>
      <c r="BJ109" s="27"/>
      <c r="BK109" s="15"/>
      <c r="BL109" s="21"/>
      <c r="BM109" s="21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41"/>
      <c r="BY109" s="15"/>
      <c r="BZ109" s="15"/>
      <c r="CA109" s="15"/>
      <c r="CB109" s="15"/>
      <c r="CC109" s="15"/>
      <c r="CD109" s="15"/>
      <c r="CE109" s="41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</row>
    <row r="110" spans="6:99">
      <c r="F110" s="32"/>
      <c r="G110" s="21"/>
      <c r="H110" s="21"/>
      <c r="I110" s="15"/>
      <c r="J110" s="21"/>
      <c r="K110" s="21"/>
      <c r="L110" s="15"/>
      <c r="M110" s="21"/>
      <c r="N110" s="27"/>
      <c r="O110" s="15"/>
      <c r="P110" s="21"/>
      <c r="Q110" s="27"/>
      <c r="R110" s="15"/>
      <c r="S110" s="21"/>
      <c r="T110" s="21"/>
      <c r="U110" s="15"/>
      <c r="V110" s="21"/>
      <c r="W110" s="21"/>
      <c r="X110" s="15"/>
      <c r="Y110" s="21"/>
      <c r="Z110" s="21"/>
      <c r="AA110" s="15"/>
      <c r="AB110" s="21"/>
      <c r="AC110" s="21"/>
      <c r="AD110" s="15"/>
      <c r="AE110" s="21"/>
      <c r="AF110" s="27"/>
      <c r="AG110" s="15"/>
      <c r="AH110" s="21"/>
      <c r="AI110" s="27"/>
      <c r="AJ110" s="15"/>
      <c r="AK110" s="21"/>
      <c r="AL110" s="27"/>
      <c r="AM110" s="15"/>
      <c r="AN110" s="21"/>
      <c r="AO110" s="25"/>
      <c r="AP110" s="15"/>
      <c r="AQ110" s="21"/>
      <c r="AR110" s="27"/>
      <c r="AS110" s="21"/>
      <c r="AT110" s="21"/>
      <c r="AU110" s="21"/>
      <c r="AV110" s="15"/>
      <c r="AW110" s="21"/>
      <c r="AX110" s="27"/>
      <c r="AY110" s="15"/>
      <c r="AZ110" s="21"/>
      <c r="BA110" s="27"/>
      <c r="BB110" s="15"/>
      <c r="BC110" s="21"/>
      <c r="BD110" s="21"/>
      <c r="BE110" s="15"/>
      <c r="BF110" s="21"/>
      <c r="BG110" s="21"/>
      <c r="BH110" s="15"/>
      <c r="BI110" s="21"/>
      <c r="BJ110" s="27"/>
      <c r="BK110" s="15"/>
      <c r="BL110" s="21"/>
      <c r="BM110" s="21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41"/>
      <c r="BY110" s="15"/>
      <c r="BZ110" s="15"/>
      <c r="CA110" s="15"/>
      <c r="CB110" s="15"/>
      <c r="CC110" s="15"/>
      <c r="CD110" s="15"/>
      <c r="CE110" s="41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</row>
    <row r="111" spans="6:99">
      <c r="F111" s="32"/>
      <c r="G111" s="21"/>
      <c r="H111" s="21"/>
      <c r="I111" s="15"/>
      <c r="J111" s="21"/>
      <c r="K111" s="21"/>
      <c r="L111" s="15"/>
      <c r="M111" s="21"/>
      <c r="N111" s="27"/>
      <c r="O111" s="15"/>
      <c r="P111" s="21"/>
      <c r="Q111" s="27"/>
      <c r="R111" s="15"/>
      <c r="S111" s="21"/>
      <c r="T111" s="21"/>
      <c r="U111" s="15"/>
      <c r="V111" s="21"/>
      <c r="W111" s="21"/>
      <c r="X111" s="15"/>
      <c r="Y111" s="21"/>
      <c r="Z111" s="21"/>
      <c r="AA111" s="15"/>
      <c r="AB111" s="21"/>
      <c r="AC111" s="21"/>
      <c r="AD111" s="15"/>
      <c r="AE111" s="21"/>
      <c r="AF111" s="27"/>
      <c r="AG111" s="15"/>
      <c r="AH111" s="21"/>
      <c r="AI111" s="27"/>
      <c r="AJ111" s="15"/>
      <c r="AK111" s="21"/>
      <c r="AL111" s="27"/>
      <c r="AM111" s="15"/>
      <c r="AN111" s="21"/>
      <c r="AO111" s="25"/>
      <c r="AP111" s="15"/>
      <c r="AQ111" s="21"/>
      <c r="AR111" s="27"/>
      <c r="AS111" s="21"/>
      <c r="AT111" s="21"/>
      <c r="AU111" s="21"/>
      <c r="AV111" s="15"/>
      <c r="AW111" s="21"/>
      <c r="AX111" s="27"/>
      <c r="AY111" s="15"/>
      <c r="AZ111" s="21"/>
      <c r="BA111" s="27"/>
      <c r="BB111" s="15"/>
      <c r="BC111" s="21"/>
      <c r="BD111" s="21"/>
      <c r="BE111" s="15"/>
      <c r="BF111" s="21"/>
      <c r="BG111" s="21"/>
      <c r="BH111" s="15"/>
      <c r="BI111" s="21"/>
      <c r="BJ111" s="27"/>
      <c r="BK111" s="15"/>
      <c r="BL111" s="21"/>
      <c r="BM111" s="21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41"/>
      <c r="BY111" s="15"/>
      <c r="BZ111" s="15"/>
      <c r="CA111" s="15"/>
      <c r="CB111" s="15"/>
      <c r="CC111" s="15"/>
      <c r="CD111" s="15"/>
      <c r="CE111" s="41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</row>
    <row r="112" spans="6:99">
      <c r="F112" s="32"/>
      <c r="G112" s="21"/>
      <c r="H112" s="21"/>
      <c r="I112" s="15"/>
      <c r="J112" s="21"/>
      <c r="K112" s="21"/>
      <c r="L112" s="15"/>
      <c r="M112" s="21"/>
      <c r="N112" s="27"/>
      <c r="O112" s="15"/>
      <c r="P112" s="21"/>
      <c r="Q112" s="27"/>
      <c r="R112" s="15"/>
      <c r="S112" s="21"/>
      <c r="T112" s="21"/>
      <c r="U112" s="15"/>
      <c r="V112" s="21"/>
      <c r="W112" s="21"/>
      <c r="X112" s="15"/>
      <c r="Y112" s="21"/>
      <c r="Z112" s="21"/>
      <c r="AA112" s="15"/>
      <c r="AB112" s="21"/>
      <c r="AC112" s="21"/>
      <c r="AD112" s="15"/>
      <c r="AE112" s="21"/>
      <c r="AF112" s="27"/>
      <c r="AG112" s="15"/>
      <c r="AH112" s="21"/>
      <c r="AI112" s="27"/>
      <c r="AJ112" s="15"/>
      <c r="AK112" s="21"/>
      <c r="AL112" s="27"/>
      <c r="AM112" s="15"/>
      <c r="AN112" s="21"/>
      <c r="AO112" s="25"/>
      <c r="AP112" s="15"/>
      <c r="AQ112" s="21"/>
      <c r="AR112" s="27"/>
      <c r="AS112" s="21"/>
      <c r="AT112" s="21"/>
      <c r="AU112" s="21"/>
      <c r="AV112" s="15"/>
      <c r="AW112" s="21"/>
      <c r="AX112" s="27"/>
      <c r="AY112" s="15"/>
      <c r="AZ112" s="21"/>
      <c r="BA112" s="27"/>
      <c r="BB112" s="15"/>
      <c r="BC112" s="21"/>
      <c r="BD112" s="21"/>
      <c r="BE112" s="15"/>
      <c r="BF112" s="21"/>
      <c r="BG112" s="21"/>
      <c r="BH112" s="15"/>
      <c r="BI112" s="21"/>
      <c r="BJ112" s="27"/>
      <c r="BK112" s="15"/>
      <c r="BL112" s="21"/>
      <c r="BM112" s="21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41"/>
      <c r="BY112" s="15"/>
      <c r="BZ112" s="15"/>
      <c r="CA112" s="15"/>
      <c r="CB112" s="15"/>
      <c r="CC112" s="15"/>
      <c r="CD112" s="15"/>
      <c r="CE112" s="41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</row>
    <row r="113" spans="6:99">
      <c r="F113" s="32"/>
      <c r="G113" s="21"/>
      <c r="H113" s="21"/>
      <c r="I113" s="15"/>
      <c r="J113" s="21"/>
      <c r="K113" s="21"/>
      <c r="L113" s="15"/>
      <c r="M113" s="21"/>
      <c r="N113" s="27"/>
      <c r="O113" s="15"/>
      <c r="P113" s="21"/>
      <c r="Q113" s="27"/>
      <c r="R113" s="15"/>
      <c r="S113" s="21"/>
      <c r="T113" s="21"/>
      <c r="U113" s="15"/>
      <c r="V113" s="21"/>
      <c r="W113" s="21"/>
      <c r="X113" s="15"/>
      <c r="Y113" s="21"/>
      <c r="Z113" s="21"/>
      <c r="AA113" s="15"/>
      <c r="AB113" s="21"/>
      <c r="AC113" s="21"/>
      <c r="AD113" s="15"/>
      <c r="AE113" s="21"/>
      <c r="AF113" s="27"/>
      <c r="AG113" s="15"/>
      <c r="AH113" s="21"/>
      <c r="AI113" s="27"/>
      <c r="AJ113" s="15"/>
      <c r="AK113" s="21"/>
      <c r="AL113" s="27"/>
      <c r="AM113" s="15"/>
      <c r="AN113" s="21"/>
      <c r="AO113" s="25"/>
      <c r="AP113" s="15"/>
      <c r="AQ113" s="21"/>
      <c r="AR113" s="27"/>
      <c r="AS113" s="21"/>
      <c r="AT113" s="21"/>
      <c r="AU113" s="21"/>
      <c r="AV113" s="15"/>
      <c r="AW113" s="21"/>
      <c r="AX113" s="27"/>
      <c r="AY113" s="15"/>
      <c r="AZ113" s="21"/>
      <c r="BA113" s="27"/>
      <c r="BB113" s="15"/>
      <c r="BC113" s="21"/>
      <c r="BD113" s="21"/>
      <c r="BE113" s="15"/>
      <c r="BF113" s="21"/>
      <c r="BG113" s="21"/>
      <c r="BH113" s="15"/>
      <c r="BI113" s="21"/>
      <c r="BJ113" s="27"/>
      <c r="BK113" s="15"/>
      <c r="BL113" s="21"/>
      <c r="BM113" s="21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41"/>
      <c r="BY113" s="15"/>
      <c r="BZ113" s="15"/>
      <c r="CA113" s="15"/>
      <c r="CB113" s="15"/>
      <c r="CC113" s="15"/>
      <c r="CD113" s="15"/>
      <c r="CE113" s="41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</row>
    <row r="114" spans="6:99">
      <c r="F114" s="32"/>
      <c r="G114" s="21"/>
      <c r="H114" s="21"/>
      <c r="I114" s="15"/>
      <c r="J114" s="21"/>
      <c r="K114" s="21"/>
      <c r="L114" s="15"/>
      <c r="M114" s="21"/>
      <c r="N114" s="27"/>
      <c r="O114" s="15"/>
      <c r="P114" s="21"/>
      <c r="Q114" s="27"/>
      <c r="R114" s="15"/>
      <c r="S114" s="21"/>
      <c r="T114" s="21"/>
      <c r="U114" s="15"/>
      <c r="V114" s="21"/>
      <c r="W114" s="21"/>
      <c r="X114" s="15"/>
      <c r="Y114" s="21"/>
      <c r="Z114" s="21"/>
      <c r="AA114" s="15"/>
      <c r="AB114" s="21"/>
      <c r="AC114" s="21"/>
      <c r="AD114" s="15"/>
      <c r="AE114" s="21"/>
      <c r="AF114" s="27"/>
      <c r="AG114" s="15"/>
      <c r="AH114" s="21"/>
      <c r="AI114" s="27"/>
      <c r="AJ114" s="15"/>
      <c r="AK114" s="21"/>
      <c r="AL114" s="27"/>
      <c r="AM114" s="15"/>
      <c r="AN114" s="21"/>
      <c r="AO114" s="25"/>
      <c r="AP114" s="15"/>
      <c r="AQ114" s="21"/>
      <c r="AR114" s="27"/>
      <c r="AS114" s="21"/>
      <c r="AT114" s="21"/>
      <c r="AU114" s="21"/>
      <c r="AV114" s="15"/>
      <c r="AW114" s="21"/>
      <c r="AX114" s="27"/>
      <c r="AY114" s="15"/>
      <c r="AZ114" s="21"/>
      <c r="BA114" s="27"/>
      <c r="BB114" s="15"/>
      <c r="BC114" s="21"/>
      <c r="BD114" s="21"/>
      <c r="BE114" s="15"/>
      <c r="BF114" s="21"/>
      <c r="BG114" s="21"/>
      <c r="BH114" s="15"/>
      <c r="BI114" s="21"/>
      <c r="BJ114" s="27"/>
      <c r="BK114" s="15"/>
      <c r="BL114" s="21"/>
      <c r="BM114" s="21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41"/>
      <c r="BY114" s="15"/>
      <c r="BZ114" s="15"/>
      <c r="CA114" s="15"/>
      <c r="CB114" s="15"/>
      <c r="CC114" s="15"/>
      <c r="CD114" s="15"/>
      <c r="CE114" s="41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</row>
    <row r="115" spans="6:99">
      <c r="F115" s="32"/>
      <c r="G115" s="21"/>
      <c r="H115" s="21"/>
      <c r="I115" s="15"/>
      <c r="J115" s="21"/>
      <c r="K115" s="21"/>
      <c r="L115" s="15"/>
      <c r="M115" s="21"/>
      <c r="N115" s="27"/>
      <c r="O115" s="15"/>
      <c r="P115" s="21"/>
      <c r="Q115" s="27"/>
      <c r="R115" s="15"/>
      <c r="S115" s="21"/>
      <c r="T115" s="21"/>
      <c r="U115" s="15"/>
      <c r="V115" s="21"/>
      <c r="W115" s="21"/>
      <c r="X115" s="15"/>
      <c r="Y115" s="21"/>
      <c r="Z115" s="21"/>
      <c r="AA115" s="15"/>
      <c r="AB115" s="21"/>
      <c r="AC115" s="21"/>
      <c r="AD115" s="15"/>
      <c r="AE115" s="21"/>
      <c r="AF115" s="27"/>
      <c r="AG115" s="15"/>
      <c r="AH115" s="21"/>
      <c r="AI115" s="27"/>
      <c r="AJ115" s="15"/>
      <c r="AK115" s="21"/>
      <c r="AL115" s="27"/>
      <c r="AM115" s="15"/>
      <c r="AN115" s="21"/>
      <c r="AO115" s="25"/>
      <c r="AP115" s="15"/>
      <c r="AQ115" s="21"/>
      <c r="AR115" s="27"/>
      <c r="AS115" s="21"/>
      <c r="AT115" s="21"/>
      <c r="AU115" s="21"/>
      <c r="AV115" s="15"/>
      <c r="AW115" s="21"/>
      <c r="AX115" s="27"/>
      <c r="AY115" s="15"/>
      <c r="AZ115" s="21"/>
      <c r="BA115" s="27"/>
      <c r="BB115" s="15"/>
      <c r="BC115" s="21"/>
      <c r="BD115" s="21"/>
      <c r="BE115" s="15"/>
      <c r="BF115" s="21"/>
      <c r="BG115" s="21"/>
      <c r="BH115" s="15"/>
      <c r="BI115" s="21"/>
      <c r="BJ115" s="27"/>
      <c r="BK115" s="15"/>
      <c r="BL115" s="21"/>
      <c r="BM115" s="21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41"/>
      <c r="BY115" s="15"/>
      <c r="BZ115" s="15"/>
      <c r="CA115" s="15"/>
      <c r="CB115" s="15"/>
      <c r="CC115" s="15"/>
      <c r="CD115" s="15"/>
      <c r="CE115" s="41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</row>
    <row r="116" spans="6:99">
      <c r="F116" s="32"/>
      <c r="G116" s="21"/>
      <c r="H116" s="21"/>
      <c r="I116" s="15"/>
      <c r="J116" s="21"/>
      <c r="K116" s="21"/>
      <c r="L116" s="15"/>
      <c r="M116" s="21"/>
      <c r="N116" s="27"/>
      <c r="O116" s="15"/>
      <c r="P116" s="21"/>
      <c r="Q116" s="27"/>
      <c r="R116" s="15"/>
      <c r="S116" s="21"/>
      <c r="T116" s="21"/>
      <c r="U116" s="15"/>
      <c r="V116" s="21"/>
      <c r="W116" s="21"/>
      <c r="X116" s="15"/>
      <c r="Y116" s="21"/>
      <c r="Z116" s="21"/>
      <c r="AA116" s="15"/>
      <c r="AB116" s="21"/>
      <c r="AC116" s="21"/>
      <c r="AD116" s="15"/>
      <c r="AE116" s="21"/>
      <c r="AF116" s="27"/>
      <c r="AG116" s="15"/>
      <c r="AH116" s="21"/>
      <c r="AI116" s="27"/>
      <c r="AJ116" s="15"/>
      <c r="AK116" s="21"/>
      <c r="AL116" s="27"/>
      <c r="AM116" s="15"/>
      <c r="AN116" s="21"/>
      <c r="AO116" s="25"/>
      <c r="AP116" s="15"/>
      <c r="AQ116" s="21"/>
      <c r="AR116" s="27"/>
      <c r="AS116" s="21"/>
      <c r="AT116" s="21"/>
      <c r="AU116" s="21"/>
      <c r="AV116" s="15"/>
      <c r="AW116" s="21"/>
      <c r="AX116" s="27"/>
      <c r="AY116" s="15"/>
      <c r="AZ116" s="21"/>
      <c r="BA116" s="27"/>
      <c r="BB116" s="15"/>
      <c r="BC116" s="21"/>
      <c r="BD116" s="21"/>
      <c r="BE116" s="15"/>
      <c r="BF116" s="21"/>
      <c r="BG116" s="21"/>
      <c r="BH116" s="15"/>
      <c r="BI116" s="21"/>
      <c r="BJ116" s="27"/>
      <c r="BK116" s="15"/>
      <c r="BL116" s="21"/>
      <c r="BM116" s="21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41"/>
      <c r="BY116" s="15"/>
      <c r="BZ116" s="15"/>
      <c r="CA116" s="15"/>
      <c r="CB116" s="15"/>
      <c r="CC116" s="15"/>
      <c r="CD116" s="15"/>
      <c r="CE116" s="41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</row>
    <row r="117" spans="6:99">
      <c r="F117" s="32"/>
      <c r="G117" s="21"/>
      <c r="H117" s="21"/>
      <c r="I117" s="15"/>
      <c r="J117" s="21"/>
      <c r="K117" s="21"/>
      <c r="L117" s="15"/>
      <c r="M117" s="21"/>
      <c r="N117" s="27"/>
      <c r="O117" s="15"/>
      <c r="P117" s="21"/>
      <c r="Q117" s="27"/>
      <c r="R117" s="15"/>
      <c r="S117" s="21"/>
      <c r="T117" s="21"/>
      <c r="U117" s="15"/>
      <c r="V117" s="21"/>
      <c r="W117" s="21"/>
      <c r="X117" s="15"/>
      <c r="Y117" s="21"/>
      <c r="Z117" s="21"/>
      <c r="AA117" s="15"/>
      <c r="AB117" s="21"/>
      <c r="AC117" s="21"/>
      <c r="AD117" s="15"/>
      <c r="AE117" s="21"/>
      <c r="AF117" s="27"/>
      <c r="AG117" s="15"/>
      <c r="AH117" s="21"/>
      <c r="AI117" s="27"/>
      <c r="AJ117" s="15"/>
      <c r="AK117" s="21"/>
      <c r="AL117" s="27"/>
      <c r="AM117" s="15"/>
      <c r="AN117" s="21"/>
      <c r="AO117" s="25"/>
      <c r="AP117" s="15"/>
      <c r="AQ117" s="21"/>
      <c r="AR117" s="27"/>
      <c r="AS117" s="21"/>
      <c r="AT117" s="21"/>
      <c r="AU117" s="21"/>
      <c r="AV117" s="15"/>
      <c r="AW117" s="21"/>
      <c r="AX117" s="27"/>
      <c r="AY117" s="15"/>
      <c r="AZ117" s="21"/>
      <c r="BA117" s="27"/>
      <c r="BB117" s="15"/>
      <c r="BC117" s="21"/>
      <c r="BD117" s="21"/>
      <c r="BE117" s="15"/>
      <c r="BF117" s="21"/>
      <c r="BG117" s="21"/>
      <c r="BH117" s="15"/>
      <c r="BI117" s="21"/>
      <c r="BJ117" s="27"/>
      <c r="BK117" s="15"/>
      <c r="BL117" s="21"/>
      <c r="BM117" s="21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41"/>
      <c r="BY117" s="15"/>
      <c r="BZ117" s="15"/>
      <c r="CA117" s="15"/>
      <c r="CB117" s="15"/>
      <c r="CC117" s="15"/>
      <c r="CD117" s="15"/>
      <c r="CE117" s="41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</row>
    <row r="118" spans="6:99">
      <c r="F118" s="32"/>
      <c r="G118" s="21"/>
      <c r="H118" s="21"/>
      <c r="I118" s="15"/>
      <c r="J118" s="21"/>
      <c r="K118" s="21"/>
      <c r="L118" s="15"/>
      <c r="M118" s="21"/>
      <c r="N118" s="27"/>
      <c r="O118" s="15"/>
      <c r="P118" s="21"/>
      <c r="Q118" s="27"/>
      <c r="R118" s="15"/>
      <c r="S118" s="21"/>
      <c r="T118" s="21"/>
      <c r="U118" s="15"/>
      <c r="V118" s="21"/>
      <c r="W118" s="21"/>
      <c r="X118" s="15"/>
      <c r="Y118" s="21"/>
      <c r="Z118" s="21"/>
      <c r="AA118" s="15"/>
      <c r="AB118" s="21"/>
      <c r="AC118" s="21"/>
      <c r="AD118" s="15"/>
      <c r="AE118" s="21"/>
      <c r="AF118" s="27"/>
      <c r="AG118" s="15"/>
      <c r="AH118" s="21"/>
      <c r="AI118" s="27"/>
      <c r="AJ118" s="15"/>
      <c r="AK118" s="21"/>
      <c r="AL118" s="27"/>
      <c r="AM118" s="15"/>
      <c r="AN118" s="21"/>
      <c r="AO118" s="25"/>
      <c r="AP118" s="15"/>
      <c r="AQ118" s="21"/>
      <c r="AR118" s="27"/>
      <c r="AS118" s="21"/>
      <c r="AT118" s="21"/>
      <c r="AU118" s="21"/>
      <c r="AV118" s="15"/>
      <c r="AW118" s="21"/>
      <c r="AX118" s="27"/>
      <c r="AY118" s="15"/>
      <c r="AZ118" s="21"/>
      <c r="BA118" s="27"/>
      <c r="BB118" s="15"/>
      <c r="BC118" s="21"/>
      <c r="BD118" s="21"/>
      <c r="BE118" s="15"/>
      <c r="BF118" s="21"/>
      <c r="BG118" s="21"/>
      <c r="BH118" s="15"/>
      <c r="BI118" s="21"/>
      <c r="BJ118" s="27"/>
      <c r="BK118" s="15"/>
      <c r="BL118" s="21"/>
      <c r="BM118" s="21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41"/>
      <c r="BY118" s="15"/>
      <c r="BZ118" s="15"/>
      <c r="CA118" s="15"/>
      <c r="CB118" s="15"/>
      <c r="CC118" s="15"/>
      <c r="CD118" s="15"/>
      <c r="CE118" s="41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</row>
    <row r="119" spans="6:99">
      <c r="F119" s="32"/>
      <c r="G119" s="21"/>
      <c r="H119" s="21"/>
      <c r="I119" s="15"/>
      <c r="J119" s="21"/>
      <c r="K119" s="21"/>
      <c r="L119" s="15"/>
      <c r="M119" s="21"/>
      <c r="N119" s="27"/>
      <c r="O119" s="15"/>
      <c r="P119" s="21"/>
      <c r="Q119" s="27"/>
      <c r="R119" s="15"/>
      <c r="S119" s="21"/>
      <c r="T119" s="21"/>
      <c r="U119" s="15"/>
      <c r="V119" s="21"/>
      <c r="W119" s="21"/>
      <c r="X119" s="15"/>
      <c r="Y119" s="21"/>
      <c r="Z119" s="21"/>
      <c r="AA119" s="15"/>
      <c r="AB119" s="21"/>
      <c r="AC119" s="21"/>
      <c r="AD119" s="15"/>
      <c r="AE119" s="21"/>
      <c r="AF119" s="27"/>
      <c r="AG119" s="15"/>
      <c r="AH119" s="21"/>
      <c r="AI119" s="27"/>
      <c r="AJ119" s="15"/>
      <c r="AK119" s="21"/>
      <c r="AL119" s="27"/>
      <c r="AM119" s="15"/>
      <c r="AN119" s="21"/>
      <c r="AO119" s="25"/>
      <c r="AP119" s="15"/>
      <c r="AQ119" s="21"/>
      <c r="AR119" s="27"/>
      <c r="AS119" s="21"/>
      <c r="AT119" s="21"/>
      <c r="AU119" s="21"/>
      <c r="AV119" s="15"/>
      <c r="AW119" s="21"/>
      <c r="AX119" s="27"/>
      <c r="AY119" s="15"/>
      <c r="AZ119" s="21"/>
      <c r="BA119" s="27"/>
      <c r="BB119" s="15"/>
      <c r="BC119" s="21"/>
      <c r="BD119" s="21"/>
      <c r="BE119" s="15"/>
      <c r="BF119" s="21"/>
      <c r="BG119" s="21"/>
      <c r="BH119" s="15"/>
      <c r="BI119" s="21"/>
      <c r="BJ119" s="27"/>
      <c r="BK119" s="15"/>
      <c r="BL119" s="21"/>
      <c r="BM119" s="21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41"/>
      <c r="BY119" s="15"/>
      <c r="BZ119" s="15"/>
      <c r="CA119" s="15"/>
      <c r="CB119" s="15"/>
      <c r="CC119" s="15"/>
      <c r="CD119" s="15"/>
      <c r="CE119" s="41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</row>
    <row r="120" spans="6:99">
      <c r="F120" s="32"/>
      <c r="G120" s="21"/>
      <c r="H120" s="21"/>
      <c r="I120" s="15"/>
      <c r="J120" s="21"/>
      <c r="K120" s="21"/>
      <c r="L120" s="15"/>
      <c r="M120" s="21"/>
      <c r="N120" s="27"/>
      <c r="O120" s="15"/>
      <c r="P120" s="21"/>
      <c r="Q120" s="27"/>
      <c r="R120" s="15"/>
      <c r="S120" s="21"/>
      <c r="T120" s="21"/>
      <c r="U120" s="15"/>
      <c r="V120" s="21"/>
      <c r="W120" s="21"/>
      <c r="X120" s="15"/>
      <c r="Y120" s="21"/>
      <c r="Z120" s="21"/>
      <c r="AA120" s="15"/>
      <c r="AB120" s="21"/>
      <c r="AC120" s="21"/>
      <c r="AD120" s="15"/>
      <c r="AE120" s="21"/>
      <c r="AF120" s="27"/>
      <c r="AG120" s="15"/>
      <c r="AH120" s="21"/>
      <c r="AI120" s="27"/>
      <c r="AJ120" s="15"/>
      <c r="AK120" s="21"/>
      <c r="AL120" s="27"/>
      <c r="AM120" s="15"/>
      <c r="AN120" s="21"/>
      <c r="AO120" s="25"/>
      <c r="AP120" s="15"/>
      <c r="AQ120" s="21"/>
      <c r="AR120" s="27"/>
      <c r="AS120" s="21"/>
      <c r="AT120" s="21"/>
      <c r="AU120" s="21"/>
      <c r="AV120" s="15"/>
      <c r="AW120" s="21"/>
      <c r="AX120" s="27"/>
      <c r="AY120" s="15"/>
      <c r="AZ120" s="21"/>
      <c r="BA120" s="27"/>
      <c r="BB120" s="15"/>
      <c r="BC120" s="21"/>
      <c r="BD120" s="21"/>
      <c r="BE120" s="15"/>
      <c r="BF120" s="21"/>
      <c r="BG120" s="21"/>
      <c r="BH120" s="15"/>
      <c r="BI120" s="21"/>
      <c r="BJ120" s="27"/>
      <c r="BK120" s="15"/>
      <c r="BL120" s="21"/>
      <c r="BM120" s="21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41"/>
      <c r="BY120" s="15"/>
      <c r="BZ120" s="15"/>
      <c r="CA120" s="15"/>
      <c r="CB120" s="15"/>
      <c r="CC120" s="15"/>
      <c r="CD120" s="15"/>
      <c r="CE120" s="41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</row>
    <row r="121" spans="6:99">
      <c r="F121" s="32"/>
      <c r="G121" s="21"/>
      <c r="H121" s="21"/>
      <c r="I121" s="15"/>
      <c r="J121" s="21"/>
      <c r="K121" s="21"/>
      <c r="L121" s="15"/>
      <c r="M121" s="21"/>
      <c r="N121" s="27"/>
      <c r="O121" s="15"/>
      <c r="P121" s="21"/>
      <c r="Q121" s="27"/>
      <c r="R121" s="15"/>
      <c r="S121" s="21"/>
      <c r="T121" s="21"/>
      <c r="U121" s="15"/>
      <c r="V121" s="21"/>
      <c r="W121" s="21"/>
      <c r="X121" s="15"/>
      <c r="Y121" s="21"/>
      <c r="Z121" s="21"/>
      <c r="AA121" s="15"/>
      <c r="AB121" s="21"/>
      <c r="AC121" s="21"/>
      <c r="AD121" s="15"/>
      <c r="AE121" s="21"/>
      <c r="AF121" s="27"/>
      <c r="AG121" s="15"/>
      <c r="AH121" s="21"/>
      <c r="AI121" s="27"/>
      <c r="AJ121" s="15"/>
      <c r="AK121" s="21"/>
      <c r="AL121" s="27"/>
      <c r="AM121" s="15"/>
      <c r="AN121" s="21"/>
      <c r="AO121" s="25"/>
      <c r="AP121" s="15"/>
      <c r="AQ121" s="21"/>
      <c r="AR121" s="27"/>
      <c r="AS121" s="21"/>
      <c r="AT121" s="21"/>
      <c r="AU121" s="21"/>
      <c r="AV121" s="15"/>
      <c r="AW121" s="21"/>
      <c r="AX121" s="27"/>
      <c r="AY121" s="15"/>
      <c r="AZ121" s="21"/>
      <c r="BA121" s="27"/>
      <c r="BB121" s="15"/>
      <c r="BC121" s="21"/>
      <c r="BD121" s="21"/>
      <c r="BE121" s="15"/>
      <c r="BF121" s="21"/>
      <c r="BG121" s="21"/>
      <c r="BH121" s="15"/>
      <c r="BI121" s="21"/>
      <c r="BJ121" s="27"/>
      <c r="BK121" s="15"/>
      <c r="BL121" s="21"/>
      <c r="BM121" s="21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41"/>
      <c r="BY121" s="15"/>
      <c r="BZ121" s="15"/>
      <c r="CA121" s="15"/>
      <c r="CB121" s="15"/>
      <c r="CC121" s="15"/>
      <c r="CD121" s="15"/>
      <c r="CE121" s="41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</row>
    <row r="122" spans="6:99">
      <c r="F122" s="32"/>
      <c r="G122" s="21"/>
      <c r="H122" s="21"/>
      <c r="I122" s="15"/>
      <c r="J122" s="21"/>
      <c r="K122" s="21"/>
      <c r="L122" s="15"/>
      <c r="M122" s="21"/>
      <c r="N122" s="27"/>
      <c r="O122" s="15"/>
      <c r="P122" s="21"/>
      <c r="Q122" s="27"/>
      <c r="R122" s="15"/>
      <c r="S122" s="21"/>
      <c r="T122" s="21"/>
      <c r="U122" s="15"/>
      <c r="V122" s="21"/>
      <c r="W122" s="21"/>
      <c r="X122" s="15"/>
      <c r="Y122" s="21"/>
      <c r="Z122" s="21"/>
      <c r="AA122" s="15"/>
      <c r="AB122" s="21"/>
      <c r="AC122" s="21"/>
      <c r="AD122" s="15"/>
      <c r="AE122" s="21"/>
      <c r="AF122" s="27"/>
      <c r="AG122" s="15"/>
      <c r="AH122" s="21"/>
      <c r="AI122" s="27"/>
      <c r="AJ122" s="15"/>
      <c r="AK122" s="21"/>
      <c r="AL122" s="27"/>
      <c r="AM122" s="15"/>
      <c r="AN122" s="21"/>
      <c r="AO122" s="25"/>
      <c r="AP122" s="15"/>
      <c r="AQ122" s="21"/>
      <c r="AR122" s="27"/>
      <c r="AS122" s="21"/>
      <c r="AT122" s="21"/>
      <c r="AU122" s="21"/>
      <c r="AV122" s="15"/>
      <c r="AW122" s="21"/>
      <c r="AX122" s="27"/>
      <c r="AY122" s="15"/>
      <c r="AZ122" s="21"/>
      <c r="BA122" s="27"/>
      <c r="BB122" s="15"/>
      <c r="BC122" s="21"/>
      <c r="BD122" s="21"/>
      <c r="BE122" s="15"/>
      <c r="BF122" s="21"/>
      <c r="BG122" s="21"/>
      <c r="BH122" s="15"/>
      <c r="BI122" s="21"/>
      <c r="BJ122" s="27"/>
      <c r="BK122" s="15"/>
      <c r="BL122" s="21"/>
      <c r="BM122" s="21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41"/>
      <c r="BY122" s="15"/>
      <c r="BZ122" s="15"/>
      <c r="CA122" s="15"/>
      <c r="CB122" s="15"/>
      <c r="CC122" s="15"/>
      <c r="CD122" s="15"/>
      <c r="CE122" s="41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</row>
    <row r="123" spans="6:99">
      <c r="F123" s="32"/>
      <c r="G123" s="21"/>
      <c r="H123" s="21"/>
      <c r="I123" s="15"/>
      <c r="J123" s="21"/>
      <c r="K123" s="21"/>
      <c r="L123" s="15"/>
      <c r="M123" s="21"/>
      <c r="N123" s="27"/>
      <c r="O123" s="15"/>
      <c r="P123" s="21"/>
      <c r="Q123" s="27"/>
      <c r="R123" s="15"/>
      <c r="S123" s="21"/>
      <c r="T123" s="21"/>
      <c r="U123" s="15"/>
      <c r="V123" s="21"/>
      <c r="W123" s="21"/>
      <c r="X123" s="15"/>
      <c r="Y123" s="21"/>
      <c r="Z123" s="21"/>
      <c r="AA123" s="15"/>
      <c r="AB123" s="21"/>
      <c r="AC123" s="21"/>
      <c r="AD123" s="15"/>
      <c r="AE123" s="21"/>
      <c r="AF123" s="27"/>
      <c r="AG123" s="15"/>
      <c r="AH123" s="21"/>
      <c r="AI123" s="27"/>
      <c r="AJ123" s="15"/>
      <c r="AK123" s="21"/>
      <c r="AL123" s="27"/>
      <c r="AM123" s="15"/>
      <c r="AN123" s="21"/>
      <c r="AO123" s="25"/>
      <c r="AP123" s="15"/>
      <c r="AQ123" s="21"/>
      <c r="AR123" s="27"/>
      <c r="AS123" s="21"/>
      <c r="AT123" s="21"/>
      <c r="AU123" s="21"/>
      <c r="AV123" s="15"/>
      <c r="AW123" s="21"/>
      <c r="AX123" s="27"/>
      <c r="AY123" s="15"/>
      <c r="AZ123" s="21"/>
      <c r="BA123" s="27"/>
      <c r="BB123" s="15"/>
      <c r="BC123" s="21"/>
      <c r="BD123" s="21"/>
      <c r="BE123" s="15"/>
      <c r="BF123" s="21"/>
      <c r="BG123" s="21"/>
      <c r="BH123" s="15"/>
      <c r="BI123" s="21"/>
      <c r="BJ123" s="27"/>
      <c r="BK123" s="15"/>
      <c r="BL123" s="21"/>
      <c r="BM123" s="21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41"/>
      <c r="BY123" s="15"/>
      <c r="BZ123" s="15"/>
      <c r="CA123" s="15"/>
      <c r="CB123" s="15"/>
      <c r="CC123" s="15"/>
      <c r="CD123" s="15"/>
      <c r="CE123" s="41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</row>
    <row r="124" spans="6:99">
      <c r="F124" s="32"/>
      <c r="G124" s="21"/>
      <c r="H124" s="21"/>
      <c r="I124" s="15"/>
      <c r="J124" s="21"/>
      <c r="K124" s="21"/>
      <c r="L124" s="15"/>
      <c r="M124" s="21"/>
      <c r="N124" s="27"/>
      <c r="O124" s="15"/>
      <c r="P124" s="21"/>
      <c r="Q124" s="27"/>
      <c r="R124" s="15"/>
      <c r="S124" s="21"/>
      <c r="T124" s="21"/>
      <c r="U124" s="15"/>
      <c r="V124" s="21"/>
      <c r="W124" s="21"/>
      <c r="X124" s="15"/>
      <c r="Y124" s="21"/>
      <c r="Z124" s="21"/>
      <c r="AA124" s="15"/>
      <c r="AB124" s="21"/>
      <c r="AC124" s="21"/>
      <c r="AD124" s="15"/>
      <c r="AE124" s="21"/>
      <c r="AF124" s="27"/>
      <c r="AG124" s="15"/>
      <c r="AH124" s="21"/>
      <c r="AI124" s="27"/>
      <c r="AJ124" s="15"/>
      <c r="AK124" s="21"/>
      <c r="AL124" s="27"/>
      <c r="AM124" s="15"/>
      <c r="AN124" s="21"/>
      <c r="AO124" s="25"/>
      <c r="AP124" s="15"/>
      <c r="AQ124" s="21"/>
      <c r="AR124" s="27"/>
      <c r="AS124" s="21"/>
      <c r="AT124" s="21"/>
      <c r="AU124" s="21"/>
      <c r="AV124" s="15"/>
      <c r="AW124" s="21"/>
      <c r="AX124" s="27"/>
      <c r="AY124" s="15"/>
      <c r="AZ124" s="21"/>
      <c r="BA124" s="27"/>
      <c r="BB124" s="15"/>
      <c r="BC124" s="21"/>
      <c r="BD124" s="21"/>
      <c r="BE124" s="15"/>
      <c r="BF124" s="21"/>
      <c r="BG124" s="21"/>
      <c r="BH124" s="15"/>
      <c r="BI124" s="21"/>
      <c r="BJ124" s="27"/>
      <c r="BK124" s="15"/>
      <c r="BL124" s="21"/>
      <c r="BM124" s="21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41"/>
      <c r="BY124" s="15"/>
      <c r="BZ124" s="15"/>
      <c r="CA124" s="15"/>
      <c r="CB124" s="15"/>
      <c r="CC124" s="15"/>
      <c r="CD124" s="15"/>
      <c r="CE124" s="41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</row>
    <row r="125" spans="6:99">
      <c r="F125" s="32"/>
      <c r="G125" s="21"/>
      <c r="H125" s="21"/>
      <c r="I125" s="15"/>
      <c r="J125" s="21"/>
      <c r="K125" s="21"/>
      <c r="L125" s="15"/>
      <c r="M125" s="21"/>
      <c r="N125" s="27"/>
      <c r="O125" s="15"/>
      <c r="P125" s="21"/>
      <c r="Q125" s="27"/>
      <c r="R125" s="15"/>
      <c r="S125" s="21"/>
      <c r="T125" s="21"/>
      <c r="U125" s="15"/>
      <c r="V125" s="21"/>
      <c r="W125" s="21"/>
      <c r="X125" s="15"/>
      <c r="Y125" s="21"/>
      <c r="Z125" s="21"/>
      <c r="AA125" s="15"/>
      <c r="AB125" s="21"/>
      <c r="AC125" s="21"/>
      <c r="AD125" s="15"/>
      <c r="AE125" s="21"/>
      <c r="AF125" s="27"/>
      <c r="AG125" s="15"/>
      <c r="AH125" s="21"/>
      <c r="AI125" s="27"/>
      <c r="AJ125" s="15"/>
      <c r="AK125" s="21"/>
      <c r="AL125" s="27"/>
      <c r="AM125" s="15"/>
      <c r="AN125" s="21"/>
      <c r="AO125" s="25"/>
      <c r="AP125" s="15"/>
      <c r="AQ125" s="21"/>
      <c r="AR125" s="27"/>
      <c r="AS125" s="21"/>
      <c r="AT125" s="21"/>
      <c r="AU125" s="21"/>
      <c r="AV125" s="15"/>
      <c r="AW125" s="21"/>
      <c r="AX125" s="27"/>
      <c r="AY125" s="15"/>
      <c r="AZ125" s="21"/>
      <c r="BA125" s="27"/>
      <c r="BB125" s="15"/>
      <c r="BC125" s="21"/>
      <c r="BD125" s="21"/>
      <c r="BE125" s="15"/>
      <c r="BF125" s="21"/>
      <c r="BG125" s="21"/>
      <c r="BH125" s="15"/>
      <c r="BI125" s="21"/>
      <c r="BJ125" s="27"/>
      <c r="BK125" s="15"/>
      <c r="BL125" s="21"/>
      <c r="BM125" s="21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41"/>
      <c r="BY125" s="15"/>
      <c r="BZ125" s="15"/>
      <c r="CA125" s="15"/>
      <c r="CB125" s="15"/>
      <c r="CC125" s="15"/>
      <c r="CD125" s="15"/>
      <c r="CE125" s="41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</row>
    <row r="126" spans="6:99">
      <c r="F126" s="32"/>
      <c r="G126" s="21"/>
      <c r="H126" s="21"/>
      <c r="I126" s="15"/>
      <c r="J126" s="21"/>
      <c r="K126" s="21"/>
      <c r="L126" s="15"/>
      <c r="M126" s="21"/>
      <c r="N126" s="27"/>
      <c r="O126" s="15"/>
      <c r="P126" s="21"/>
      <c r="Q126" s="27"/>
      <c r="R126" s="15"/>
      <c r="S126" s="21"/>
      <c r="T126" s="21"/>
      <c r="U126" s="15"/>
      <c r="V126" s="21"/>
      <c r="W126" s="21"/>
      <c r="X126" s="15"/>
      <c r="Y126" s="21"/>
      <c r="Z126" s="21"/>
      <c r="AA126" s="15"/>
      <c r="AB126" s="21"/>
      <c r="AC126" s="21"/>
      <c r="AD126" s="15"/>
      <c r="AE126" s="21"/>
      <c r="AF126" s="27"/>
      <c r="AG126" s="15"/>
      <c r="AH126" s="21"/>
      <c r="AI126" s="27"/>
      <c r="AJ126" s="15"/>
      <c r="AK126" s="21"/>
      <c r="AL126" s="27"/>
      <c r="AM126" s="15"/>
      <c r="AN126" s="21"/>
      <c r="AO126" s="25"/>
      <c r="AP126" s="15"/>
      <c r="AQ126" s="21"/>
      <c r="AR126" s="27"/>
      <c r="AS126" s="21"/>
      <c r="AT126" s="21"/>
      <c r="AU126" s="21"/>
      <c r="AV126" s="15"/>
      <c r="AW126" s="21"/>
      <c r="AX126" s="27"/>
      <c r="AY126" s="15"/>
      <c r="AZ126" s="21"/>
      <c r="BA126" s="27"/>
      <c r="BB126" s="15"/>
      <c r="BC126" s="21"/>
      <c r="BD126" s="21"/>
      <c r="BE126" s="15"/>
      <c r="BF126" s="21"/>
      <c r="BG126" s="21"/>
      <c r="BH126" s="15"/>
      <c r="BI126" s="21"/>
      <c r="BJ126" s="27"/>
      <c r="BK126" s="15"/>
      <c r="BL126" s="21"/>
      <c r="BM126" s="21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41"/>
      <c r="BY126" s="15"/>
      <c r="BZ126" s="15"/>
      <c r="CA126" s="15"/>
      <c r="CB126" s="15"/>
      <c r="CC126" s="15"/>
      <c r="CD126" s="15"/>
      <c r="CE126" s="41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</row>
    <row r="127" spans="6:99">
      <c r="F127" s="32"/>
      <c r="G127" s="21"/>
      <c r="H127" s="21"/>
      <c r="I127" s="15"/>
      <c r="J127" s="21"/>
      <c r="K127" s="21"/>
      <c r="L127" s="15"/>
      <c r="M127" s="21"/>
      <c r="N127" s="27"/>
      <c r="O127" s="15"/>
      <c r="P127" s="21"/>
      <c r="Q127" s="27"/>
      <c r="R127" s="15"/>
      <c r="S127" s="21"/>
      <c r="T127" s="21"/>
      <c r="U127" s="15"/>
      <c r="V127" s="21"/>
      <c r="W127" s="21"/>
      <c r="X127" s="15"/>
      <c r="Y127" s="21"/>
      <c r="Z127" s="21"/>
      <c r="AA127" s="15"/>
      <c r="AB127" s="21"/>
      <c r="AC127" s="21"/>
      <c r="AD127" s="15"/>
      <c r="AE127" s="21"/>
      <c r="AF127" s="27"/>
      <c r="AG127" s="15"/>
      <c r="AH127" s="21"/>
      <c r="AI127" s="27"/>
      <c r="AJ127" s="15"/>
      <c r="AK127" s="21"/>
      <c r="AL127" s="27"/>
      <c r="AM127" s="15"/>
      <c r="AN127" s="21"/>
      <c r="AO127" s="25"/>
      <c r="AP127" s="15"/>
      <c r="AQ127" s="21"/>
      <c r="AR127" s="27"/>
      <c r="AS127" s="21"/>
      <c r="AT127" s="21"/>
      <c r="AU127" s="21"/>
      <c r="AV127" s="15"/>
      <c r="AW127" s="21"/>
      <c r="AX127" s="27"/>
      <c r="AY127" s="15"/>
      <c r="AZ127" s="21"/>
      <c r="BA127" s="27"/>
      <c r="BB127" s="15"/>
      <c r="BC127" s="21"/>
      <c r="BD127" s="21"/>
      <c r="BE127" s="15"/>
      <c r="BF127" s="21"/>
      <c r="BG127" s="21"/>
      <c r="BH127" s="15"/>
      <c r="BI127" s="21"/>
      <c r="BJ127" s="27"/>
      <c r="BK127" s="15"/>
      <c r="BL127" s="21"/>
      <c r="BM127" s="21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41"/>
      <c r="BY127" s="15"/>
      <c r="BZ127" s="15"/>
      <c r="CA127" s="15"/>
      <c r="CB127" s="15"/>
      <c r="CC127" s="15"/>
      <c r="CD127" s="15"/>
      <c r="CE127" s="41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</row>
    <row r="128" spans="6:99">
      <c r="F128" s="32"/>
      <c r="G128" s="21"/>
      <c r="H128" s="21"/>
      <c r="I128" s="15"/>
      <c r="J128" s="21"/>
      <c r="K128" s="21"/>
      <c r="L128" s="15"/>
      <c r="M128" s="21"/>
      <c r="N128" s="27"/>
      <c r="O128" s="15"/>
      <c r="P128" s="21"/>
      <c r="Q128" s="27"/>
      <c r="R128" s="15"/>
      <c r="S128" s="21"/>
      <c r="T128" s="21"/>
      <c r="U128" s="15"/>
      <c r="V128" s="21"/>
      <c r="W128" s="21"/>
      <c r="X128" s="15"/>
      <c r="Y128" s="21"/>
      <c r="Z128" s="21"/>
      <c r="AA128" s="15"/>
      <c r="AB128" s="21"/>
      <c r="AC128" s="21"/>
      <c r="AD128" s="15"/>
      <c r="AE128" s="21"/>
      <c r="AF128" s="27"/>
      <c r="AG128" s="15"/>
      <c r="AH128" s="21"/>
      <c r="AI128" s="27"/>
      <c r="AJ128" s="15"/>
      <c r="AK128" s="21"/>
      <c r="AL128" s="27"/>
      <c r="AM128" s="15"/>
      <c r="AN128" s="21"/>
      <c r="AO128" s="25"/>
      <c r="AP128" s="15"/>
      <c r="AQ128" s="21"/>
      <c r="AR128" s="27"/>
      <c r="AS128" s="21"/>
      <c r="AT128" s="21"/>
      <c r="AU128" s="21"/>
      <c r="AV128" s="15"/>
      <c r="AW128" s="21"/>
      <c r="AX128" s="27"/>
      <c r="AY128" s="15"/>
      <c r="AZ128" s="21"/>
      <c r="BA128" s="27"/>
      <c r="BB128" s="15"/>
      <c r="BC128" s="21"/>
      <c r="BD128" s="21"/>
      <c r="BE128" s="15"/>
      <c r="BF128" s="21"/>
      <c r="BG128" s="21"/>
      <c r="BH128" s="15"/>
      <c r="BI128" s="21"/>
      <c r="BJ128" s="27"/>
      <c r="BK128" s="15"/>
      <c r="BL128" s="21"/>
      <c r="BM128" s="21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41"/>
      <c r="BY128" s="15"/>
      <c r="BZ128" s="15"/>
      <c r="CA128" s="15"/>
      <c r="CB128" s="15"/>
      <c r="CC128" s="15"/>
      <c r="CD128" s="15"/>
      <c r="CE128" s="41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</row>
    <row r="129" spans="6:99">
      <c r="F129" s="32"/>
      <c r="G129" s="21"/>
      <c r="H129" s="21"/>
      <c r="I129" s="15"/>
      <c r="J129" s="21"/>
      <c r="K129" s="21"/>
      <c r="L129" s="15"/>
      <c r="M129" s="21"/>
      <c r="N129" s="27"/>
      <c r="O129" s="15"/>
      <c r="P129" s="21"/>
      <c r="Q129" s="27"/>
      <c r="R129" s="15"/>
      <c r="S129" s="21"/>
      <c r="T129" s="21"/>
      <c r="U129" s="15"/>
      <c r="V129" s="21"/>
      <c r="W129" s="21"/>
      <c r="X129" s="15"/>
      <c r="Y129" s="21"/>
      <c r="Z129" s="21"/>
      <c r="AA129" s="15"/>
      <c r="AB129" s="21"/>
      <c r="AC129" s="21"/>
      <c r="AD129" s="15"/>
      <c r="AE129" s="21"/>
      <c r="AF129" s="27"/>
      <c r="AG129" s="15"/>
      <c r="AH129" s="21"/>
      <c r="AI129" s="27"/>
      <c r="AJ129" s="15"/>
      <c r="AK129" s="21"/>
      <c r="AL129" s="27"/>
      <c r="AM129" s="15"/>
      <c r="AN129" s="21"/>
      <c r="AO129" s="25"/>
      <c r="AP129" s="15"/>
      <c r="AQ129" s="21"/>
      <c r="AR129" s="27"/>
      <c r="AS129" s="21"/>
      <c r="AT129" s="21"/>
      <c r="AU129" s="21"/>
      <c r="AV129" s="15"/>
      <c r="AW129" s="21"/>
      <c r="AX129" s="27"/>
      <c r="AY129" s="15"/>
      <c r="AZ129" s="21"/>
      <c r="BA129" s="27"/>
      <c r="BB129" s="15"/>
      <c r="BC129" s="21"/>
      <c r="BD129" s="21"/>
      <c r="BE129" s="15"/>
      <c r="BF129" s="21"/>
      <c r="BG129" s="21"/>
      <c r="BH129" s="15"/>
      <c r="BI129" s="21"/>
      <c r="BJ129" s="27"/>
      <c r="BK129" s="15"/>
      <c r="BL129" s="21"/>
      <c r="BM129" s="21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41"/>
      <c r="BY129" s="15"/>
      <c r="BZ129" s="15"/>
      <c r="CA129" s="15"/>
      <c r="CB129" s="15"/>
      <c r="CC129" s="15"/>
      <c r="CD129" s="15"/>
      <c r="CE129" s="41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</row>
    <row r="130" spans="6:99">
      <c r="F130" s="32"/>
      <c r="G130" s="21"/>
      <c r="H130" s="21"/>
      <c r="I130" s="15"/>
      <c r="J130" s="21"/>
      <c r="K130" s="21"/>
      <c r="L130" s="15"/>
      <c r="M130" s="21"/>
      <c r="N130" s="27"/>
      <c r="O130" s="15"/>
      <c r="P130" s="21"/>
      <c r="Q130" s="27"/>
      <c r="R130" s="15"/>
      <c r="S130" s="21"/>
      <c r="T130" s="21"/>
      <c r="U130" s="15"/>
      <c r="V130" s="21"/>
      <c r="W130" s="21"/>
      <c r="X130" s="15"/>
      <c r="Y130" s="21"/>
      <c r="Z130" s="21"/>
      <c r="AA130" s="15"/>
      <c r="AB130" s="21"/>
      <c r="AC130" s="21"/>
      <c r="AD130" s="15"/>
      <c r="AE130" s="21"/>
      <c r="AF130" s="27"/>
      <c r="AG130" s="15"/>
      <c r="AH130" s="21"/>
      <c r="AI130" s="27"/>
      <c r="AJ130" s="15"/>
      <c r="AK130" s="21"/>
      <c r="AL130" s="27"/>
      <c r="AM130" s="15"/>
      <c r="AN130" s="21"/>
      <c r="AO130" s="25"/>
      <c r="AP130" s="15"/>
      <c r="AQ130" s="21"/>
      <c r="AR130" s="27"/>
      <c r="AS130" s="21"/>
      <c r="AT130" s="21"/>
      <c r="AU130" s="21"/>
      <c r="AV130" s="15"/>
      <c r="AW130" s="21"/>
      <c r="AX130" s="27"/>
      <c r="AY130" s="15"/>
      <c r="AZ130" s="21"/>
      <c r="BA130" s="27"/>
      <c r="BB130" s="15"/>
      <c r="BC130" s="21"/>
      <c r="BD130" s="21"/>
      <c r="BE130" s="15"/>
      <c r="BF130" s="21"/>
      <c r="BG130" s="21"/>
      <c r="BH130" s="15"/>
      <c r="BI130" s="21"/>
      <c r="BJ130" s="27"/>
      <c r="BK130" s="15"/>
      <c r="BL130" s="21"/>
      <c r="BM130" s="21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41"/>
      <c r="BY130" s="15"/>
      <c r="BZ130" s="15"/>
      <c r="CA130" s="15"/>
      <c r="CB130" s="15"/>
      <c r="CC130" s="15"/>
      <c r="CD130" s="15"/>
      <c r="CE130" s="41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</row>
    <row r="131" spans="6:99">
      <c r="F131" s="32"/>
      <c r="G131" s="21"/>
      <c r="H131" s="21"/>
      <c r="I131" s="15"/>
      <c r="J131" s="21"/>
      <c r="K131" s="21"/>
      <c r="L131" s="15"/>
      <c r="M131" s="21"/>
      <c r="N131" s="27"/>
      <c r="O131" s="15"/>
      <c r="P131" s="21"/>
      <c r="Q131" s="27"/>
      <c r="R131" s="15"/>
      <c r="S131" s="21"/>
      <c r="T131" s="21"/>
      <c r="U131" s="15"/>
      <c r="V131" s="21"/>
      <c r="W131" s="21"/>
      <c r="X131" s="15"/>
      <c r="Y131" s="21"/>
      <c r="Z131" s="21"/>
      <c r="AA131" s="15"/>
      <c r="AB131" s="21"/>
      <c r="AC131" s="21"/>
      <c r="AD131" s="15"/>
      <c r="AE131" s="21"/>
      <c r="AF131" s="27"/>
      <c r="AG131" s="15"/>
      <c r="AH131" s="21"/>
      <c r="AI131" s="27"/>
      <c r="AJ131" s="15"/>
      <c r="AK131" s="21"/>
      <c r="AL131" s="27"/>
      <c r="AM131" s="15"/>
      <c r="AN131" s="21"/>
      <c r="AO131" s="25"/>
      <c r="AP131" s="15"/>
      <c r="AQ131" s="21"/>
      <c r="AR131" s="27"/>
      <c r="AS131" s="21"/>
      <c r="AT131" s="21"/>
      <c r="AU131" s="21"/>
      <c r="AV131" s="15"/>
      <c r="AW131" s="21"/>
      <c r="AX131" s="27"/>
      <c r="AY131" s="15"/>
      <c r="AZ131" s="21"/>
      <c r="BA131" s="27"/>
      <c r="BB131" s="15"/>
      <c r="BC131" s="21"/>
      <c r="BD131" s="21"/>
      <c r="BE131" s="15"/>
      <c r="BF131" s="21"/>
      <c r="BG131" s="21"/>
      <c r="BH131" s="15"/>
      <c r="BI131" s="21"/>
      <c r="BJ131" s="27"/>
      <c r="BK131" s="15"/>
      <c r="BL131" s="21"/>
      <c r="BM131" s="21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41"/>
      <c r="BY131" s="15"/>
      <c r="BZ131" s="15"/>
      <c r="CA131" s="15"/>
      <c r="CB131" s="15"/>
      <c r="CC131" s="15"/>
      <c r="CD131" s="15"/>
      <c r="CE131" s="41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</row>
    <row r="132" spans="6:99">
      <c r="F132" s="32"/>
      <c r="G132" s="21"/>
      <c r="H132" s="21"/>
      <c r="I132" s="15"/>
      <c r="J132" s="21"/>
      <c r="K132" s="21"/>
      <c r="L132" s="15"/>
      <c r="M132" s="21"/>
      <c r="N132" s="27"/>
      <c r="O132" s="15"/>
      <c r="P132" s="21"/>
      <c r="Q132" s="27"/>
      <c r="R132" s="15"/>
      <c r="S132" s="21"/>
      <c r="T132" s="21"/>
      <c r="U132" s="15"/>
      <c r="V132" s="21"/>
      <c r="W132" s="21"/>
      <c r="X132" s="15"/>
      <c r="Y132" s="21"/>
      <c r="Z132" s="21"/>
      <c r="AA132" s="15"/>
      <c r="AB132" s="21"/>
      <c r="AC132" s="21"/>
      <c r="AD132" s="15"/>
      <c r="AE132" s="21"/>
      <c r="AF132" s="27"/>
      <c r="AG132" s="15"/>
      <c r="AH132" s="21"/>
      <c r="AI132" s="27"/>
      <c r="AJ132" s="15"/>
      <c r="AK132" s="21"/>
      <c r="AL132" s="27"/>
      <c r="AM132" s="15"/>
      <c r="AN132" s="21"/>
      <c r="AO132" s="25"/>
      <c r="AP132" s="15"/>
      <c r="AQ132" s="21"/>
      <c r="AR132" s="27"/>
      <c r="AS132" s="21"/>
      <c r="AT132" s="21"/>
      <c r="AU132" s="21"/>
      <c r="AV132" s="15"/>
      <c r="AW132" s="21"/>
      <c r="AX132" s="27"/>
      <c r="AY132" s="15"/>
      <c r="AZ132" s="21"/>
      <c r="BA132" s="27"/>
      <c r="BB132" s="15"/>
      <c r="BC132" s="21"/>
      <c r="BD132" s="21"/>
      <c r="BE132" s="15"/>
      <c r="BF132" s="21"/>
      <c r="BG132" s="21"/>
      <c r="BH132" s="15"/>
      <c r="BI132" s="21"/>
      <c r="BJ132" s="27"/>
      <c r="BK132" s="15"/>
      <c r="BL132" s="21"/>
      <c r="BM132" s="21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41"/>
      <c r="BY132" s="15"/>
      <c r="BZ132" s="15"/>
      <c r="CA132" s="15"/>
      <c r="CB132" s="15"/>
      <c r="CC132" s="15"/>
      <c r="CD132" s="15"/>
      <c r="CE132" s="41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</row>
    <row r="133" spans="6:99">
      <c r="F133" s="32"/>
      <c r="G133" s="21"/>
      <c r="H133" s="21"/>
      <c r="I133" s="15"/>
      <c r="J133" s="21"/>
      <c r="K133" s="21"/>
      <c r="L133" s="15"/>
      <c r="M133" s="21"/>
      <c r="N133" s="27"/>
      <c r="O133" s="15"/>
      <c r="P133" s="21"/>
      <c r="Q133" s="27"/>
      <c r="R133" s="15"/>
      <c r="S133" s="21"/>
      <c r="T133" s="21"/>
      <c r="U133" s="15"/>
      <c r="V133" s="21"/>
      <c r="W133" s="21"/>
      <c r="X133" s="15"/>
      <c r="Y133" s="21"/>
      <c r="Z133" s="21"/>
      <c r="AA133" s="15"/>
      <c r="AB133" s="21"/>
      <c r="AC133" s="21"/>
      <c r="AD133" s="15"/>
      <c r="AE133" s="21"/>
      <c r="AF133" s="27"/>
      <c r="AG133" s="15"/>
      <c r="AH133" s="21"/>
      <c r="AI133" s="27"/>
      <c r="AJ133" s="15"/>
      <c r="AK133" s="21"/>
      <c r="AL133" s="27"/>
      <c r="AM133" s="15"/>
      <c r="AN133" s="21"/>
      <c r="AO133" s="25"/>
      <c r="AP133" s="15"/>
      <c r="AQ133" s="21"/>
      <c r="AR133" s="27"/>
      <c r="AS133" s="21"/>
      <c r="AT133" s="21"/>
      <c r="AU133" s="21"/>
      <c r="AV133" s="15"/>
      <c r="AW133" s="21"/>
      <c r="AX133" s="27"/>
      <c r="AY133" s="15"/>
      <c r="AZ133" s="21"/>
      <c r="BA133" s="27"/>
      <c r="BB133" s="15"/>
      <c r="BC133" s="21"/>
      <c r="BD133" s="21"/>
      <c r="BE133" s="15"/>
      <c r="BF133" s="21"/>
      <c r="BG133" s="21"/>
      <c r="BH133" s="15"/>
      <c r="BI133" s="21"/>
      <c r="BJ133" s="27"/>
      <c r="BK133" s="15"/>
      <c r="BL133" s="21"/>
      <c r="BM133" s="21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41"/>
      <c r="BY133" s="15"/>
      <c r="BZ133" s="15"/>
      <c r="CA133" s="15"/>
      <c r="CB133" s="15"/>
      <c r="CC133" s="15"/>
      <c r="CD133" s="15"/>
      <c r="CE133" s="41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</row>
  </sheetData>
  <mergeCells count="34">
    <mergeCell ref="AK3:AM3"/>
    <mergeCell ref="A3:A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AH3:AJ3"/>
    <mergeCell ref="BU3:BW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R3:BT3"/>
    <mergeCell ref="CP3:CR3"/>
    <mergeCell ref="CS3:CU3"/>
    <mergeCell ref="CV3:CX3"/>
    <mergeCell ref="DC3:DE3"/>
    <mergeCell ref="BX3:BZ3"/>
    <mergeCell ref="CA3:CC3"/>
    <mergeCell ref="CD3:CF3"/>
    <mergeCell ref="CG3:CI3"/>
    <mergeCell ref="CJ3:CL3"/>
    <mergeCell ref="CM3:CO3"/>
  </mergeCells>
  <phoneticPr fontId="1"/>
  <pageMargins left="0.7" right="0.7" top="0.75" bottom="0.75" header="0.3" footer="0.3"/>
  <pageSetup paperSize="9" scale="67" fitToHeight="2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E5557-CB0E-4A49-9417-F00DDC4E0621}">
  <sheetPr codeName="Sheet23">
    <tabColor theme="4" tint="0.39997558519241921"/>
  </sheetPr>
  <dimension ref="B2:P34"/>
  <sheetViews>
    <sheetView topLeftCell="A2" zoomScaleNormal="100" workbookViewId="0">
      <selection activeCell="F13" sqref="F13"/>
    </sheetView>
  </sheetViews>
  <sheetFormatPr defaultRowHeight="13.2"/>
  <cols>
    <col min="1" max="1" width="3" customWidth="1"/>
    <col min="2" max="2" width="21.44140625" bestFit="1" customWidth="1"/>
    <col min="5" max="5" width="14.44140625" bestFit="1" customWidth="1"/>
    <col min="6" max="6" width="12.77734375" customWidth="1"/>
    <col min="7" max="7" width="13.109375" customWidth="1"/>
  </cols>
  <sheetData>
    <row r="2" spans="2:16" ht="19.2">
      <c r="F2" s="226">
        <f ca="1">TODAY()</f>
        <v>46031</v>
      </c>
      <c r="G2" s="226"/>
    </row>
    <row r="3" spans="2:16" ht="30">
      <c r="B3" s="72" t="s">
        <v>289</v>
      </c>
    </row>
    <row r="6" spans="2:16" ht="19.2">
      <c r="B6" s="58" t="s">
        <v>129</v>
      </c>
    </row>
    <row r="7" spans="2:16" ht="19.2">
      <c r="B7" s="59"/>
    </row>
    <row r="8" spans="2:16" ht="33" customHeight="1">
      <c r="B8" s="59" t="s">
        <v>198</v>
      </c>
    </row>
    <row r="10" spans="2:16" ht="34.5" customHeight="1">
      <c r="B10" s="227">
        <v>46027</v>
      </c>
      <c r="C10" s="227"/>
      <c r="D10" s="94" t="s">
        <v>287</v>
      </c>
      <c r="I10" s="117"/>
      <c r="J10" s="118"/>
      <c r="K10" s="118"/>
      <c r="L10" s="118"/>
      <c r="M10" s="118"/>
      <c r="N10" s="118"/>
      <c r="O10" s="118"/>
      <c r="P10" s="118"/>
    </row>
    <row r="12" spans="2:16" ht="41.25" customHeight="1">
      <c r="B12" s="196" t="s">
        <v>288</v>
      </c>
      <c r="C12" s="75"/>
      <c r="D12" s="75"/>
      <c r="E12" s="86"/>
      <c r="F12" s="99"/>
      <c r="G12" s="88" t="s">
        <v>178</v>
      </c>
      <c r="H12" s="78"/>
      <c r="I12" s="69"/>
    </row>
    <row r="14" spans="2:16" ht="41.25" customHeight="1">
      <c r="B14" s="92"/>
      <c r="E14" s="92"/>
      <c r="F14" s="120"/>
      <c r="G14" s="92"/>
      <c r="I14" s="228"/>
      <c r="J14" s="74"/>
    </row>
    <row r="15" spans="2:16" ht="30" customHeight="1">
      <c r="B15" t="s">
        <v>203</v>
      </c>
      <c r="C15" s="136"/>
      <c r="I15" s="229"/>
    </row>
    <row r="16" spans="2:16" ht="41.25" customHeight="1">
      <c r="B16" s="92"/>
      <c r="C16" s="77"/>
      <c r="E16" s="92"/>
      <c r="F16" s="120"/>
      <c r="G16" s="92"/>
      <c r="I16" s="229"/>
      <c r="J16" s="74"/>
    </row>
    <row r="18" spans="2:16" ht="41.25" customHeight="1">
      <c r="B18" s="92"/>
      <c r="E18" s="92"/>
      <c r="F18" s="120"/>
      <c r="G18" s="92"/>
      <c r="J18" s="74"/>
    </row>
    <row r="20" spans="2:16" ht="41.25" customHeight="1">
      <c r="B20" s="142"/>
      <c r="E20" s="92"/>
      <c r="F20" s="120"/>
      <c r="G20" s="92"/>
      <c r="I20" s="69"/>
    </row>
    <row r="21" spans="2:16" ht="13.5" customHeight="1"/>
    <row r="22" spans="2:16" ht="41.25" customHeight="1">
      <c r="B22" s="77" t="s">
        <v>133</v>
      </c>
      <c r="E22" s="92"/>
      <c r="F22" s="120"/>
      <c r="G22" s="92"/>
      <c r="P22" s="74"/>
    </row>
    <row r="23" spans="2:16" ht="13.8" thickBot="1"/>
    <row r="24" spans="2:16" ht="42" customHeight="1" thickBot="1">
      <c r="B24" s="142"/>
      <c r="E24" s="68" t="s">
        <v>134</v>
      </c>
      <c r="F24" s="122"/>
      <c r="G24" s="92"/>
      <c r="I24" s="113"/>
      <c r="J24" s="119"/>
      <c r="K24" s="114"/>
      <c r="L24" s="115"/>
      <c r="O24" s="116"/>
      <c r="P24" s="74"/>
    </row>
    <row r="26" spans="2:16" ht="28.2">
      <c r="B26" s="77"/>
      <c r="E26" s="69" t="s">
        <v>222</v>
      </c>
    </row>
    <row r="27" spans="2:16" ht="16.2">
      <c r="E27" s="69" t="s">
        <v>223</v>
      </c>
    </row>
    <row r="28" spans="2:16" ht="16.2">
      <c r="E28" s="69" t="s">
        <v>224</v>
      </c>
    </row>
    <row r="29" spans="2:16" ht="21">
      <c r="B29" s="87"/>
    </row>
    <row r="32" spans="2:16" ht="21">
      <c r="E32" s="68"/>
    </row>
    <row r="34" spans="2:5" ht="19.2">
      <c r="B34" s="59"/>
      <c r="E34" s="69"/>
    </row>
  </sheetData>
  <mergeCells count="3">
    <mergeCell ref="F2:G2"/>
    <mergeCell ref="B10:C10"/>
    <mergeCell ref="I14:I16"/>
  </mergeCells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5" tint="0.39997558519241921"/>
  </sheetPr>
  <dimension ref="B2:M38"/>
  <sheetViews>
    <sheetView zoomScaleNormal="100" workbookViewId="0">
      <selection activeCell="F12" sqref="F12"/>
    </sheetView>
  </sheetViews>
  <sheetFormatPr defaultRowHeight="13.2"/>
  <cols>
    <col min="1" max="1" width="2.6640625" customWidth="1"/>
    <col min="2" max="2" width="6.109375" customWidth="1"/>
    <col min="3" max="3" width="21.44140625" customWidth="1"/>
    <col min="5" max="5" width="11.21875" customWidth="1"/>
    <col min="6" max="6" width="6.77734375" customWidth="1"/>
    <col min="7" max="7" width="13.109375" customWidth="1"/>
    <col min="8" max="8" width="18.77734375" customWidth="1"/>
  </cols>
  <sheetData>
    <row r="2" spans="2:12" ht="19.2">
      <c r="F2" s="226">
        <f ca="1">TODAY()</f>
        <v>46031</v>
      </c>
      <c r="G2" s="226"/>
    </row>
    <row r="3" spans="2:12" ht="30">
      <c r="B3" s="72" t="s">
        <v>152</v>
      </c>
      <c r="C3" s="72"/>
    </row>
    <row r="5" spans="2:12" ht="19.2">
      <c r="B5" s="58" t="s">
        <v>129</v>
      </c>
      <c r="C5" s="58"/>
      <c r="L5" t="s">
        <v>2</v>
      </c>
    </row>
    <row r="6" spans="2:12" ht="14.25" customHeight="1">
      <c r="B6" s="59"/>
      <c r="C6" s="59"/>
    </row>
    <row r="7" spans="2:12" ht="33" customHeight="1">
      <c r="B7" s="59" t="s">
        <v>153</v>
      </c>
      <c r="C7" s="59"/>
      <c r="F7" s="233" t="s">
        <v>154</v>
      </c>
      <c r="G7" s="233"/>
      <c r="H7" s="233"/>
    </row>
    <row r="8" spans="2:12" ht="18" customHeight="1">
      <c r="B8" s="69" t="s">
        <v>155</v>
      </c>
      <c r="C8" s="73"/>
      <c r="E8" s="69"/>
    </row>
    <row r="9" spans="2:12" ht="34.5" customHeight="1">
      <c r="B9" s="230">
        <v>46020</v>
      </c>
      <c r="C9" s="230"/>
      <c r="D9" s="230"/>
      <c r="E9" s="132"/>
      <c r="H9" s="231" t="s">
        <v>156</v>
      </c>
    </row>
    <row r="10" spans="2:12">
      <c r="H10" s="232"/>
    </row>
    <row r="11" spans="2:12" ht="33.75" customHeight="1">
      <c r="B11" s="90" t="s">
        <v>132</v>
      </c>
      <c r="C11" s="97" t="s">
        <v>163</v>
      </c>
      <c r="D11" s="133"/>
      <c r="E11" s="134"/>
      <c r="F11" s="86">
        <v>1</v>
      </c>
      <c r="G11" s="88" t="s">
        <v>158</v>
      </c>
      <c r="H11" s="179"/>
      <c r="J11" s="97" t="s">
        <v>157</v>
      </c>
    </row>
    <row r="12" spans="2:12" ht="21">
      <c r="H12" s="68"/>
      <c r="J12" s="98"/>
    </row>
    <row r="13" spans="2:12" ht="33.75" customHeight="1">
      <c r="B13" s="90" t="s">
        <v>159</v>
      </c>
      <c r="C13" s="97" t="s">
        <v>160</v>
      </c>
      <c r="D13" s="133"/>
      <c r="E13" s="134"/>
      <c r="F13" s="86">
        <v>1</v>
      </c>
      <c r="G13" s="88" t="s">
        <v>327</v>
      </c>
      <c r="H13" s="153"/>
      <c r="J13" s="97" t="s">
        <v>182</v>
      </c>
    </row>
    <row r="14" spans="2:12" ht="21">
      <c r="H14" s="68"/>
      <c r="J14" s="98"/>
    </row>
    <row r="15" spans="2:12" ht="33.75" customHeight="1">
      <c r="B15" s="90" t="s">
        <v>161</v>
      </c>
      <c r="C15" s="97"/>
      <c r="D15" s="133"/>
      <c r="E15" s="134"/>
      <c r="F15" s="86"/>
      <c r="G15" s="88" t="s">
        <v>158</v>
      </c>
      <c r="H15" s="153"/>
      <c r="J15" s="97" t="s">
        <v>160</v>
      </c>
    </row>
    <row r="16" spans="2:12" ht="21">
      <c r="J16" s="98"/>
    </row>
    <row r="17" spans="2:10" ht="33.75" customHeight="1">
      <c r="B17" s="90" t="s">
        <v>162</v>
      </c>
      <c r="C17" s="97"/>
      <c r="D17" s="133"/>
      <c r="E17" s="134"/>
      <c r="F17" s="86"/>
      <c r="G17" s="88" t="s">
        <v>158</v>
      </c>
      <c r="H17" s="4"/>
      <c r="J17" s="97" t="s">
        <v>163</v>
      </c>
    </row>
    <row r="18" spans="2:10" ht="21">
      <c r="J18" s="98"/>
    </row>
    <row r="19" spans="2:10" ht="33.75" customHeight="1">
      <c r="B19" s="90" t="s">
        <v>164</v>
      </c>
      <c r="C19" s="97"/>
      <c r="D19" s="133"/>
      <c r="E19" s="134"/>
      <c r="F19" s="86"/>
      <c r="G19" s="88" t="s">
        <v>158</v>
      </c>
      <c r="H19" s="4"/>
      <c r="J19" s="97" t="s">
        <v>216</v>
      </c>
    </row>
    <row r="20" spans="2:10" ht="21">
      <c r="J20" s="98"/>
    </row>
    <row r="21" spans="2:10" ht="37.5" customHeight="1">
      <c r="B21" s="90" t="s">
        <v>165</v>
      </c>
      <c r="C21" s="97"/>
      <c r="D21" s="75"/>
      <c r="E21" s="75"/>
      <c r="F21" s="86"/>
      <c r="G21" s="88" t="s">
        <v>158</v>
      </c>
      <c r="H21" s="4"/>
      <c r="J21" s="97" t="s">
        <v>166</v>
      </c>
    </row>
    <row r="22" spans="2:10" ht="21" customHeight="1">
      <c r="B22" s="84"/>
      <c r="C22" s="84"/>
      <c r="G22" s="92"/>
      <c r="J22" s="98"/>
    </row>
    <row r="23" spans="2:10" ht="33.75" customHeight="1">
      <c r="B23" s="90" t="s">
        <v>167</v>
      </c>
      <c r="C23" s="97"/>
      <c r="D23" s="75"/>
      <c r="E23" s="75"/>
      <c r="F23" s="86"/>
      <c r="G23" s="88" t="s">
        <v>158</v>
      </c>
      <c r="H23" s="4"/>
      <c r="J23" s="97" t="s">
        <v>168</v>
      </c>
    </row>
    <row r="24" spans="2:10" ht="13.5" customHeight="1">
      <c r="B24" s="84"/>
      <c r="C24" s="84"/>
      <c r="G24" s="92"/>
      <c r="J24" s="98"/>
    </row>
    <row r="25" spans="2:10" ht="28.2">
      <c r="B25" s="84"/>
      <c r="C25" s="84"/>
      <c r="G25" s="92"/>
      <c r="J25" s="98"/>
    </row>
    <row r="26" spans="2:10" ht="21">
      <c r="C26" s="68"/>
      <c r="J26" s="98"/>
    </row>
    <row r="27" spans="2:10" ht="23.4">
      <c r="B27" s="91" t="s">
        <v>169</v>
      </c>
      <c r="C27" s="91"/>
      <c r="J27" s="97" t="s">
        <v>214</v>
      </c>
    </row>
    <row r="28" spans="2:10" ht="21">
      <c r="J28" s="98"/>
    </row>
    <row r="29" spans="2:10" ht="21">
      <c r="J29" s="98"/>
    </row>
    <row r="30" spans="2:10" ht="24" customHeight="1">
      <c r="B30" s="94"/>
      <c r="C30" s="94" t="s">
        <v>322</v>
      </c>
      <c r="D30" s="95"/>
      <c r="E30" s="89"/>
      <c r="J30" s="97" t="s">
        <v>171</v>
      </c>
    </row>
    <row r="31" spans="2:10" ht="15" customHeight="1">
      <c r="B31" s="94"/>
      <c r="C31" s="93"/>
      <c r="E31" s="89"/>
      <c r="J31" s="98"/>
    </row>
    <row r="32" spans="2:10" ht="21">
      <c r="E32" s="68" t="s">
        <v>134</v>
      </c>
      <c r="J32" s="97" t="s">
        <v>172</v>
      </c>
    </row>
    <row r="33" spans="2:13" ht="20.25" customHeight="1">
      <c r="E33" s="69" t="s">
        <v>173</v>
      </c>
      <c r="J33" s="98"/>
    </row>
    <row r="34" spans="2:13" ht="21" customHeight="1">
      <c r="E34" s="69" t="s">
        <v>135</v>
      </c>
      <c r="J34" s="97" t="s">
        <v>174</v>
      </c>
    </row>
    <row r="35" spans="2:13" ht="19.2">
      <c r="B35" s="59"/>
      <c r="C35" s="59"/>
    </row>
    <row r="36" spans="2:13" ht="21">
      <c r="J36" s="97" t="s">
        <v>175</v>
      </c>
    </row>
    <row r="38" spans="2:13" ht="25.8">
      <c r="J38" s="94"/>
      <c r="K38" s="94"/>
      <c r="L38" s="95" t="s">
        <v>170</v>
      </c>
      <c r="M38" s="89" t="s">
        <v>309</v>
      </c>
    </row>
  </sheetData>
  <mergeCells count="4">
    <mergeCell ref="F2:G2"/>
    <mergeCell ref="B9:D9"/>
    <mergeCell ref="H9:H10"/>
    <mergeCell ref="F7:H7"/>
  </mergeCells>
  <phoneticPr fontId="1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6D8BC-2D81-408C-9E1A-0C6E715E3CDE}">
  <sheetPr codeName="Sheet14">
    <tabColor theme="2" tint="-0.499984740745262"/>
  </sheetPr>
  <dimension ref="A2:K25"/>
  <sheetViews>
    <sheetView zoomScaleNormal="100" workbookViewId="0">
      <selection activeCell="E13" sqref="E13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236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243</v>
      </c>
    </row>
    <row r="8" spans="1:11" ht="30.75" customHeight="1"/>
    <row r="9" spans="1:11" ht="34.5" customHeight="1">
      <c r="B9" s="73"/>
    </row>
    <row r="10" spans="1:11" ht="34.5" customHeight="1">
      <c r="B10" s="230">
        <v>46020</v>
      </c>
      <c r="C10" s="230"/>
      <c r="D10" s="230"/>
    </row>
    <row r="11" spans="1:11" ht="30" customHeight="1">
      <c r="B11" s="203"/>
    </row>
    <row r="12" spans="1:11" ht="51" customHeight="1" thickBot="1">
      <c r="A12" s="83" t="s">
        <v>132</v>
      </c>
      <c r="B12" s="81" t="s">
        <v>102</v>
      </c>
      <c r="C12" s="81"/>
      <c r="D12" s="82"/>
      <c r="E12" s="82"/>
      <c r="F12" s="81">
        <v>1</v>
      </c>
      <c r="G12" s="81" t="s">
        <v>65</v>
      </c>
      <c r="K12" s="81" t="s">
        <v>32</v>
      </c>
    </row>
    <row r="13" spans="1:11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 t="s">
        <v>161</v>
      </c>
      <c r="B14" s="197"/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 t="s">
        <v>162</v>
      </c>
      <c r="B15" s="197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197" t="s">
        <v>290</v>
      </c>
    </row>
    <row r="17" spans="1:11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81" t="s">
        <v>298</v>
      </c>
    </row>
    <row r="18" spans="1:11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197" t="s">
        <v>299</v>
      </c>
    </row>
    <row r="19" spans="1:11" ht="51" customHeight="1" thickTop="1" thickBot="1">
      <c r="A19" s="83" t="s">
        <v>249</v>
      </c>
      <c r="B19" s="81"/>
      <c r="C19" s="81"/>
      <c r="D19" s="82"/>
      <c r="E19" s="82"/>
      <c r="F19" s="81"/>
      <c r="G19" s="81"/>
      <c r="K19" s="92" t="s">
        <v>293</v>
      </c>
    </row>
    <row r="20" spans="1:11" ht="20.25" customHeight="1" thickTop="1" thickBot="1">
      <c r="K20" s="81"/>
    </row>
    <row r="21" spans="1:11" ht="28.8" thickTop="1">
      <c r="B21" s="77" t="s">
        <v>133</v>
      </c>
    </row>
    <row r="23" spans="1:11" ht="21">
      <c r="E23" s="68" t="s">
        <v>134</v>
      </c>
    </row>
    <row r="25" spans="1:11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scale="9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D6A6B-31C4-4E04-A43A-618C91B116E2}">
  <sheetPr codeName="Sheet19">
    <tabColor theme="2" tint="-0.499984740745262"/>
  </sheetPr>
  <dimension ref="A2:P25"/>
  <sheetViews>
    <sheetView topLeftCell="A13" zoomScaleNormal="100" workbookViewId="0">
      <selection activeCell="H9" sqref="H9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6" ht="19.2">
      <c r="F2" s="226">
        <f ca="1">TODAY()</f>
        <v>46031</v>
      </c>
      <c r="G2" s="226"/>
    </row>
    <row r="3" spans="1:16" ht="30">
      <c r="B3" s="72" t="s">
        <v>252</v>
      </c>
    </row>
    <row r="5" spans="1:16" ht="19.2">
      <c r="B5" s="58" t="s">
        <v>129</v>
      </c>
    </row>
    <row r="6" spans="1:16" ht="19.2">
      <c r="B6" s="59"/>
    </row>
    <row r="7" spans="1:16" ht="33" customHeight="1">
      <c r="B7" s="59" t="s">
        <v>243</v>
      </c>
    </row>
    <row r="8" spans="1:16" ht="34.5" customHeight="1">
      <c r="B8" s="73"/>
    </row>
    <row r="9" spans="1:16" ht="34.5" customHeight="1">
      <c r="B9" s="230">
        <v>46014</v>
      </c>
      <c r="C9" s="230"/>
      <c r="D9" s="230"/>
    </row>
    <row r="10" spans="1:16" ht="30" customHeight="1"/>
    <row r="11" spans="1:16" ht="51" customHeight="1" thickBot="1">
      <c r="A11" s="83" t="s">
        <v>132</v>
      </c>
      <c r="B11" s="81" t="s">
        <v>314</v>
      </c>
      <c r="C11" s="81"/>
      <c r="D11" s="82"/>
      <c r="E11" s="206"/>
      <c r="F11" s="81">
        <v>3</v>
      </c>
      <c r="G11" s="81" t="s">
        <v>330</v>
      </c>
      <c r="K11" s="81" t="s">
        <v>32</v>
      </c>
    </row>
    <row r="12" spans="1:16" ht="51" customHeight="1" thickTop="1" thickBot="1">
      <c r="A12" s="83" t="s">
        <v>192</v>
      </c>
      <c r="B12" s="197" t="s">
        <v>303</v>
      </c>
      <c r="C12" s="81"/>
      <c r="D12" s="82"/>
      <c r="E12" s="207"/>
      <c r="F12" s="81">
        <v>1</v>
      </c>
      <c r="G12" s="81" t="s">
        <v>65</v>
      </c>
      <c r="K12" s="81" t="s">
        <v>65</v>
      </c>
    </row>
    <row r="13" spans="1:16" ht="51" customHeight="1" thickTop="1" thickBot="1">
      <c r="A13" s="83" t="s">
        <v>161</v>
      </c>
      <c r="B13" s="197" t="s">
        <v>304</v>
      </c>
      <c r="C13" s="81"/>
      <c r="D13" s="82"/>
      <c r="E13" s="207"/>
      <c r="F13" s="81">
        <v>4</v>
      </c>
      <c r="G13" s="81" t="s">
        <v>32</v>
      </c>
      <c r="K13" s="81" t="s">
        <v>21</v>
      </c>
    </row>
    <row r="14" spans="1:16" ht="51" customHeight="1" thickTop="1" thickBot="1">
      <c r="A14" s="83" t="s">
        <v>162</v>
      </c>
      <c r="B14" s="197" t="s">
        <v>300</v>
      </c>
      <c r="C14" s="81"/>
      <c r="D14" s="82"/>
      <c r="E14" s="206"/>
      <c r="F14" s="81">
        <v>5</v>
      </c>
      <c r="G14" s="81" t="s">
        <v>32</v>
      </c>
      <c r="K14" s="81" t="s">
        <v>47</v>
      </c>
    </row>
    <row r="15" spans="1:16" ht="51" customHeight="1" thickTop="1" thickBot="1">
      <c r="A15" s="83" t="s">
        <v>164</v>
      </c>
      <c r="B15" s="197" t="s">
        <v>305</v>
      </c>
      <c r="C15" s="81"/>
      <c r="D15" s="82"/>
      <c r="E15" s="187"/>
      <c r="F15" s="81">
        <v>1</v>
      </c>
      <c r="G15" s="81" t="s">
        <v>21</v>
      </c>
      <c r="K15" s="197" t="s">
        <v>291</v>
      </c>
      <c r="P15" s="197" t="s">
        <v>303</v>
      </c>
    </row>
    <row r="16" spans="1:16" ht="51" customHeight="1" thickTop="1" thickBot="1">
      <c r="A16" s="83" t="s">
        <v>165</v>
      </c>
      <c r="B16" s="197" t="s">
        <v>313</v>
      </c>
      <c r="C16" s="81"/>
      <c r="D16" s="82"/>
      <c r="E16" s="82"/>
      <c r="F16" s="81"/>
      <c r="G16" s="81" t="s">
        <v>32</v>
      </c>
      <c r="K16" s="197" t="s">
        <v>311</v>
      </c>
      <c r="P16" s="197" t="s">
        <v>304</v>
      </c>
    </row>
    <row r="17" spans="1:16" ht="51" customHeight="1" thickTop="1" thickBot="1">
      <c r="A17" s="83" t="s">
        <v>167</v>
      </c>
      <c r="B17" s="197" t="s">
        <v>291</v>
      </c>
      <c r="C17" s="81"/>
      <c r="D17" s="82"/>
      <c r="E17" s="82"/>
      <c r="F17" s="81"/>
      <c r="G17" s="81" t="s">
        <v>32</v>
      </c>
      <c r="K17" s="197" t="s">
        <v>313</v>
      </c>
      <c r="M17" t="s">
        <v>319</v>
      </c>
      <c r="P17" s="197" t="s">
        <v>300</v>
      </c>
    </row>
    <row r="18" spans="1:16" ht="51" customHeight="1" thickTop="1" thickBot="1">
      <c r="A18" s="83" t="s">
        <v>249</v>
      </c>
      <c r="B18" s="197"/>
      <c r="C18" s="81"/>
      <c r="D18" s="82"/>
      <c r="E18" s="82"/>
      <c r="F18" s="81"/>
      <c r="G18" s="81"/>
      <c r="K18" s="197" t="s">
        <v>290</v>
      </c>
      <c r="P18" s="197" t="s">
        <v>305</v>
      </c>
    </row>
    <row r="19" spans="1:16" ht="51" customHeight="1" thickTop="1" thickBot="1">
      <c r="A19" s="83" t="s">
        <v>283</v>
      </c>
      <c r="B19" s="81"/>
      <c r="C19" s="81"/>
      <c r="D19" s="82"/>
      <c r="E19" s="82"/>
      <c r="F19" s="81"/>
      <c r="G19" s="81"/>
      <c r="K19" s="81" t="s">
        <v>35</v>
      </c>
      <c r="P19" s="81" t="s">
        <v>314</v>
      </c>
    </row>
    <row r="20" spans="1:16" ht="20.25" customHeight="1" thickTop="1" thickBot="1">
      <c r="K20" s="81"/>
      <c r="P20" s="197" t="s">
        <v>324</v>
      </c>
    </row>
    <row r="21" spans="1:16" ht="28.8" thickTop="1">
      <c r="B21" s="77" t="s">
        <v>133</v>
      </c>
    </row>
    <row r="23" spans="1:16" ht="21">
      <c r="E23" s="68" t="s">
        <v>134</v>
      </c>
    </row>
    <row r="25" spans="1:16" ht="16.2">
      <c r="E25" s="69" t="s">
        <v>135</v>
      </c>
    </row>
  </sheetData>
  <mergeCells count="2">
    <mergeCell ref="F2:G2"/>
    <mergeCell ref="B9:D9"/>
  </mergeCells>
  <phoneticPr fontId="1"/>
  <pageMargins left="0.7" right="0.7" top="0.75" bottom="0.75" header="0.3" footer="0.3"/>
  <pageSetup paperSize="9" scale="9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974A-D4A7-4B7D-BF54-F7297E4E4832}">
  <sheetPr codeName="Sheet16">
    <tabColor theme="2" tint="-0.499984740745262"/>
  </sheetPr>
  <dimension ref="A2:K26"/>
  <sheetViews>
    <sheetView zoomScaleNormal="100" workbookViewId="0">
      <selection activeCell="B11" sqref="B11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6" max="6" width="9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244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243</v>
      </c>
    </row>
    <row r="8" spans="1:11" ht="45.75" customHeight="1"/>
    <row r="9" spans="1:11" ht="34.5" customHeight="1">
      <c r="B9" s="73"/>
    </row>
    <row r="10" spans="1:11" ht="34.5" customHeight="1">
      <c r="B10" s="230">
        <v>45972</v>
      </c>
      <c r="C10" s="230"/>
      <c r="D10" s="230"/>
    </row>
    <row r="11" spans="1:11" ht="30" customHeight="1"/>
    <row r="12" spans="1:11" ht="51" customHeight="1" thickBot="1">
      <c r="A12" s="83" t="s">
        <v>132</v>
      </c>
      <c r="B12" s="81" t="s">
        <v>318</v>
      </c>
      <c r="C12" s="81"/>
      <c r="D12" s="81"/>
      <c r="E12" s="82"/>
      <c r="F12" s="150">
        <v>1</v>
      </c>
      <c r="G12" s="81" t="s">
        <v>30</v>
      </c>
      <c r="K12" s="81" t="s">
        <v>32</v>
      </c>
    </row>
    <row r="13" spans="1:11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 t="s">
        <v>161</v>
      </c>
      <c r="B14" s="81"/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 t="s">
        <v>162</v>
      </c>
      <c r="B15" s="81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92"/>
    </row>
    <row r="17" spans="1:11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92" t="s">
        <v>318</v>
      </c>
    </row>
    <row r="18" spans="1:11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92" t="s">
        <v>323</v>
      </c>
    </row>
    <row r="19" spans="1:11" ht="29.4" thickTop="1" thickBot="1">
      <c r="K19" s="81"/>
    </row>
    <row r="20" spans="1:11" ht="13.8" thickTop="1"/>
    <row r="21" spans="1:11" ht="28.2">
      <c r="B21" s="77" t="s">
        <v>133</v>
      </c>
    </row>
    <row r="24" spans="1:11" ht="21">
      <c r="E24" s="68" t="s">
        <v>134</v>
      </c>
    </row>
    <row r="26" spans="1:11" ht="16.2">
      <c r="E26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7C9CE-6AB2-4767-BBA7-86A96CDDC238}">
  <sheetPr codeName="Sheet15">
    <tabColor theme="2" tint="-0.499984740745262"/>
  </sheetPr>
  <dimension ref="A2:K25"/>
  <sheetViews>
    <sheetView zoomScaleNormal="100" workbookViewId="0">
      <selection activeCell="B12" sqref="B12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245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243</v>
      </c>
    </row>
    <row r="8" spans="1:11" ht="45.75" customHeight="1"/>
    <row r="9" spans="1:11" ht="34.5" customHeight="1">
      <c r="B9" s="73"/>
    </row>
    <row r="10" spans="1:11" ht="34.5" customHeight="1">
      <c r="B10" s="230">
        <v>45990</v>
      </c>
      <c r="C10" s="230"/>
      <c r="D10" s="230"/>
    </row>
    <row r="11" spans="1:11" ht="30" customHeight="1"/>
    <row r="12" spans="1:11" ht="51" customHeight="1" thickBot="1">
      <c r="A12" s="83" t="s">
        <v>132</v>
      </c>
      <c r="B12" s="81" t="s">
        <v>297</v>
      </c>
      <c r="C12" s="81"/>
      <c r="D12" s="81"/>
      <c r="E12" s="82"/>
      <c r="F12" s="150">
        <v>32</v>
      </c>
      <c r="G12" s="81" t="s">
        <v>27</v>
      </c>
      <c r="K12" s="81" t="s">
        <v>32</v>
      </c>
    </row>
    <row r="13" spans="1:11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 t="s">
        <v>161</v>
      </c>
      <c r="B14" s="81"/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 t="s">
        <v>162</v>
      </c>
      <c r="B15" s="81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92"/>
    </row>
    <row r="17" spans="1:11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81" t="s">
        <v>269</v>
      </c>
    </row>
    <row r="18" spans="1:11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92"/>
    </row>
    <row r="19" spans="1:11" ht="29.4" thickTop="1" thickBot="1">
      <c r="K19" s="81"/>
    </row>
    <row r="20" spans="1:11" ht="13.8" thickTop="1"/>
    <row r="21" spans="1:11" ht="28.2">
      <c r="B21" s="77" t="s">
        <v>133</v>
      </c>
    </row>
    <row r="23" spans="1:11" ht="21">
      <c r="E23" s="68" t="s">
        <v>134</v>
      </c>
    </row>
    <row r="25" spans="1:11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01765-08B1-428E-8A5D-CCD848D426D6}">
  <sheetPr codeName="Sheet21">
    <tabColor theme="2" tint="-0.499984740745262"/>
  </sheetPr>
  <dimension ref="A2:K25"/>
  <sheetViews>
    <sheetView zoomScaleNormal="100" workbookViewId="0">
      <selection activeCell="B11" sqref="B11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268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153</v>
      </c>
    </row>
    <row r="8" spans="1:11" ht="45.75" customHeight="1"/>
    <row r="9" spans="1:11" ht="34.5" customHeight="1">
      <c r="B9" s="73"/>
    </row>
    <row r="10" spans="1:11" ht="34.5" customHeight="1">
      <c r="B10" s="230">
        <v>46014</v>
      </c>
      <c r="C10" s="230"/>
      <c r="D10" s="230"/>
    </row>
    <row r="11" spans="1:11" ht="30" customHeight="1"/>
    <row r="12" spans="1:11" ht="51" customHeight="1" thickBot="1">
      <c r="A12" s="83" t="s">
        <v>132</v>
      </c>
      <c r="B12" s="81" t="s">
        <v>332</v>
      </c>
      <c r="C12" s="81"/>
      <c r="D12" s="82"/>
      <c r="E12" s="82"/>
      <c r="F12" s="81">
        <v>4</v>
      </c>
      <c r="G12" s="81" t="s">
        <v>27</v>
      </c>
      <c r="K12" s="81" t="s">
        <v>32</v>
      </c>
    </row>
    <row r="13" spans="1:11" ht="51" customHeight="1" thickTop="1" thickBot="1">
      <c r="A13" s="83"/>
      <c r="B13" s="209" t="s">
        <v>331</v>
      </c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/>
      <c r="B14" s="210" t="s">
        <v>333</v>
      </c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/>
      <c r="B15" s="81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/>
      <c r="B16" s="81"/>
      <c r="C16" s="81"/>
      <c r="D16" s="82"/>
      <c r="E16" s="82"/>
      <c r="F16" s="81"/>
      <c r="G16" s="81"/>
      <c r="K16" s="92"/>
    </row>
    <row r="17" spans="1:11" ht="51" customHeight="1" thickTop="1" thickBot="1">
      <c r="A17" s="83"/>
      <c r="B17" s="81"/>
      <c r="C17" s="81"/>
      <c r="D17" s="82"/>
      <c r="E17" s="82"/>
      <c r="F17" s="81"/>
      <c r="G17" s="81"/>
      <c r="K17" s="92"/>
    </row>
    <row r="18" spans="1:11" ht="51" customHeight="1" thickTop="1" thickBot="1">
      <c r="A18" s="83"/>
      <c r="B18" s="81"/>
      <c r="C18" s="81"/>
      <c r="D18" s="82"/>
      <c r="E18" s="82"/>
      <c r="F18" s="81"/>
      <c r="G18" s="81"/>
      <c r="K18" s="92"/>
    </row>
    <row r="19" spans="1:11" ht="29.4" thickTop="1" thickBot="1">
      <c r="K19" s="81"/>
    </row>
    <row r="20" spans="1:11" ht="28.8" thickTop="1">
      <c r="B20" s="77" t="s">
        <v>133</v>
      </c>
    </row>
    <row r="23" spans="1:11" ht="21">
      <c r="E23" s="68" t="s">
        <v>134</v>
      </c>
    </row>
    <row r="25" spans="1:11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F6DB-466A-40F9-8016-9C34A1069D0B}">
  <sheetPr codeName="Sheet18">
    <tabColor theme="2" tint="-0.499984740745262"/>
  </sheetPr>
  <dimension ref="A2:K25"/>
  <sheetViews>
    <sheetView zoomScaleNormal="100" workbookViewId="0">
      <selection activeCell="B13" sqref="B13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248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243</v>
      </c>
    </row>
    <row r="8" spans="1:11" ht="45.75" customHeight="1"/>
    <row r="9" spans="1:11" ht="34.5" customHeight="1">
      <c r="B9" s="73"/>
    </row>
    <row r="10" spans="1:11" ht="34.5" customHeight="1">
      <c r="B10" s="230">
        <v>46013</v>
      </c>
      <c r="C10" s="230"/>
      <c r="D10" s="230"/>
    </row>
    <row r="11" spans="1:11" ht="30" customHeight="1"/>
    <row r="12" spans="1:11" ht="51" customHeight="1" thickBot="1">
      <c r="A12" s="83" t="s">
        <v>132</v>
      </c>
      <c r="B12" s="81" t="s">
        <v>334</v>
      </c>
      <c r="C12" s="81"/>
      <c r="D12" s="81"/>
      <c r="E12" s="82"/>
      <c r="F12" s="150">
        <v>5</v>
      </c>
      <c r="G12" s="81" t="s">
        <v>27</v>
      </c>
      <c r="K12" s="81" t="s">
        <v>32</v>
      </c>
    </row>
    <row r="13" spans="1:11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 t="s">
        <v>161</v>
      </c>
      <c r="B14" s="81"/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 t="s">
        <v>162</v>
      </c>
      <c r="B15" s="81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92"/>
    </row>
    <row r="17" spans="1:11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92"/>
    </row>
    <row r="18" spans="1:11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92"/>
    </row>
    <row r="19" spans="1:11" ht="29.4" thickTop="1" thickBot="1">
      <c r="K19" s="81"/>
    </row>
    <row r="20" spans="1:11" ht="13.8" thickTop="1"/>
    <row r="21" spans="1:11" ht="28.2">
      <c r="B21" s="77" t="s">
        <v>133</v>
      </c>
    </row>
    <row r="23" spans="1:11" ht="21">
      <c r="E23" s="68" t="s">
        <v>134</v>
      </c>
    </row>
    <row r="25" spans="1:11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B64D-FE60-4858-AA81-72A7796AE107}">
  <sheetPr codeName="Sheet20">
    <tabColor theme="2" tint="-0.499984740745262"/>
  </sheetPr>
  <dimension ref="A2:M25"/>
  <sheetViews>
    <sheetView topLeftCell="A4" zoomScaleNormal="100" workbookViewId="0">
      <selection activeCell="L12" sqref="L12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3" ht="19.2">
      <c r="F2" s="226">
        <f ca="1">TODAY()</f>
        <v>46031</v>
      </c>
      <c r="G2" s="226"/>
    </row>
    <row r="3" spans="1:13" ht="30">
      <c r="B3" s="72" t="s">
        <v>253</v>
      </c>
    </row>
    <row r="5" spans="1:13" ht="19.2">
      <c r="B5" s="58" t="s">
        <v>129</v>
      </c>
    </row>
    <row r="6" spans="1:13" ht="19.2">
      <c r="B6" s="59"/>
    </row>
    <row r="7" spans="1:13" ht="33" customHeight="1">
      <c r="B7" s="59" t="s">
        <v>336</v>
      </c>
    </row>
    <row r="8" spans="1:13" ht="45.75" customHeight="1"/>
    <row r="9" spans="1:13" ht="34.5" customHeight="1">
      <c r="B9" s="73"/>
    </row>
    <row r="10" spans="1:13" ht="34.5" customHeight="1">
      <c r="B10" s="230">
        <v>46014</v>
      </c>
      <c r="C10" s="230"/>
      <c r="D10" s="230"/>
    </row>
    <row r="11" spans="1:13" ht="30" customHeight="1"/>
    <row r="12" spans="1:13" ht="51" customHeight="1" thickBot="1">
      <c r="A12" s="83" t="s">
        <v>132</v>
      </c>
      <c r="B12" s="81" t="s">
        <v>295</v>
      </c>
      <c r="C12" s="81"/>
      <c r="D12" s="81"/>
      <c r="E12" s="82"/>
      <c r="F12" s="150">
        <v>1</v>
      </c>
      <c r="G12" s="81" t="s">
        <v>27</v>
      </c>
      <c r="K12" s="81" t="s">
        <v>32</v>
      </c>
    </row>
    <row r="13" spans="1:13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3" ht="51" customHeight="1" thickTop="1" thickBot="1">
      <c r="A14" s="83" t="s">
        <v>161</v>
      </c>
      <c r="B14" s="81"/>
      <c r="C14" s="81"/>
      <c r="D14" s="82"/>
      <c r="E14" s="82"/>
      <c r="F14" s="81"/>
      <c r="G14" s="81"/>
      <c r="K14" s="81" t="s">
        <v>21</v>
      </c>
    </row>
    <row r="15" spans="1:13" ht="51" customHeight="1" thickTop="1" thickBot="1">
      <c r="A15" s="83" t="s">
        <v>162</v>
      </c>
      <c r="B15" s="81"/>
      <c r="C15" s="81"/>
      <c r="D15" s="82"/>
      <c r="E15" s="82"/>
      <c r="F15" s="81"/>
      <c r="G15" s="81"/>
      <c r="K15" s="81" t="s">
        <v>47</v>
      </c>
    </row>
    <row r="16" spans="1:13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92"/>
      <c r="M16" s="81" t="s">
        <v>263</v>
      </c>
    </row>
    <row r="17" spans="1:13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92"/>
      <c r="M17" t="s">
        <v>295</v>
      </c>
    </row>
    <row r="18" spans="1:13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92"/>
    </row>
    <row r="19" spans="1:13" ht="29.4" thickTop="1" thickBot="1">
      <c r="K19" s="81"/>
    </row>
    <row r="20" spans="1:13" ht="13.8" thickTop="1"/>
    <row r="21" spans="1:13" ht="28.2">
      <c r="B21" s="77" t="s">
        <v>133</v>
      </c>
    </row>
    <row r="23" spans="1:13" ht="21">
      <c r="E23" s="68" t="s">
        <v>134</v>
      </c>
    </row>
    <row r="25" spans="1:13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F645F-BF72-47FA-A8B8-A56FDF37A73D}">
  <sheetPr codeName="Sheet17">
    <tabColor theme="2" tint="-0.499984740745262"/>
  </sheetPr>
  <dimension ref="A2:K25"/>
  <sheetViews>
    <sheetView topLeftCell="A11" zoomScaleNormal="100" workbookViewId="0">
      <selection activeCell="J23" sqref="J23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294</v>
      </c>
    </row>
    <row r="5" spans="1:11" ht="19.2">
      <c r="B5" s="58" t="s">
        <v>129</v>
      </c>
    </row>
    <row r="6" spans="1:11" ht="19.2">
      <c r="B6" s="59"/>
    </row>
    <row r="7" spans="1:11" ht="33" customHeight="1">
      <c r="B7" s="59" t="s">
        <v>243</v>
      </c>
    </row>
    <row r="8" spans="1:11" ht="45.75" customHeight="1"/>
    <row r="9" spans="1:11" ht="34.5" customHeight="1">
      <c r="B9" s="73"/>
    </row>
    <row r="10" spans="1:11" ht="34.5" customHeight="1">
      <c r="B10" s="230">
        <v>45779</v>
      </c>
      <c r="C10" s="230"/>
      <c r="D10" s="230"/>
    </row>
    <row r="11" spans="1:11" ht="30" customHeight="1"/>
    <row r="12" spans="1:11" ht="51" customHeight="1" thickBot="1">
      <c r="A12" s="83" t="s">
        <v>132</v>
      </c>
      <c r="B12" s="81" t="s">
        <v>269</v>
      </c>
      <c r="C12" s="81"/>
      <c r="D12" s="82"/>
      <c r="E12" s="82"/>
      <c r="F12" s="81">
        <v>2</v>
      </c>
      <c r="G12" s="81" t="s">
        <v>292</v>
      </c>
      <c r="K12" s="81" t="s">
        <v>32</v>
      </c>
    </row>
    <row r="13" spans="1:11" ht="51" customHeight="1" thickTop="1" thickBot="1">
      <c r="A13" s="83" t="s">
        <v>192</v>
      </c>
      <c r="B13" s="81"/>
      <c r="C13" s="81"/>
      <c r="D13" s="82"/>
      <c r="E13" s="82"/>
      <c r="F13" s="81"/>
      <c r="G13" s="81"/>
      <c r="K13" s="81" t="s">
        <v>65</v>
      </c>
    </row>
    <row r="14" spans="1:11" ht="51" customHeight="1" thickTop="1" thickBot="1">
      <c r="A14" s="83" t="s">
        <v>161</v>
      </c>
      <c r="B14" s="81"/>
      <c r="C14" s="81"/>
      <c r="D14" s="82"/>
      <c r="E14" s="82"/>
      <c r="F14" s="81"/>
      <c r="G14" s="81"/>
      <c r="K14" s="81" t="s">
        <v>21</v>
      </c>
    </row>
    <row r="15" spans="1:11" ht="51" customHeight="1" thickTop="1" thickBot="1">
      <c r="A15" s="83" t="s">
        <v>162</v>
      </c>
      <c r="B15" s="81"/>
      <c r="C15" s="81"/>
      <c r="D15" s="82"/>
      <c r="E15" s="82"/>
      <c r="F15" s="81"/>
      <c r="G15" s="81"/>
      <c r="K15" s="81" t="s">
        <v>47</v>
      </c>
    </row>
    <row r="16" spans="1:11" ht="51" customHeight="1" thickTop="1" thickBot="1">
      <c r="A16" s="83" t="s">
        <v>164</v>
      </c>
      <c r="B16" s="81"/>
      <c r="C16" s="81"/>
      <c r="D16" s="82"/>
      <c r="E16" s="82"/>
      <c r="F16" s="81"/>
      <c r="G16" s="81"/>
      <c r="K16" s="92"/>
    </row>
    <row r="17" spans="1:11" ht="51" customHeight="1" thickTop="1" thickBot="1">
      <c r="A17" s="83" t="s">
        <v>165</v>
      </c>
      <c r="B17" s="81"/>
      <c r="C17" s="81"/>
      <c r="D17" s="82"/>
      <c r="E17" s="82"/>
      <c r="F17" s="81"/>
      <c r="G17" s="81"/>
      <c r="K17" s="92"/>
    </row>
    <row r="18" spans="1:11" ht="51" customHeight="1" thickTop="1" thickBot="1">
      <c r="A18" s="83" t="s">
        <v>167</v>
      </c>
      <c r="B18" s="81"/>
      <c r="C18" s="81"/>
      <c r="D18" s="82"/>
      <c r="E18" s="82"/>
      <c r="F18" s="81"/>
      <c r="G18" s="81"/>
      <c r="K18" s="92"/>
    </row>
    <row r="19" spans="1:11" ht="29.4" thickTop="1" thickBot="1">
      <c r="K19" s="81"/>
    </row>
    <row r="20" spans="1:11" ht="28.8" thickTop="1">
      <c r="B20" s="77" t="s">
        <v>133</v>
      </c>
    </row>
    <row r="23" spans="1:11" ht="21">
      <c r="E23" s="68" t="s">
        <v>134</v>
      </c>
    </row>
    <row r="25" spans="1:11" ht="16.2">
      <c r="E25" s="69" t="s">
        <v>135</v>
      </c>
    </row>
  </sheetData>
  <mergeCells count="2">
    <mergeCell ref="F2:G2"/>
    <mergeCell ref="B10:D10"/>
  </mergeCells>
  <phoneticPr fontId="1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2:H22"/>
  <sheetViews>
    <sheetView workbookViewId="0">
      <selection activeCell="M15" sqref="M15"/>
    </sheetView>
  </sheetViews>
  <sheetFormatPr defaultRowHeight="13.2"/>
  <sheetData>
    <row r="2" spans="1:6" ht="49.5" customHeight="1">
      <c r="A2" s="120" t="s">
        <v>270</v>
      </c>
    </row>
    <row r="6" spans="1:6" ht="21">
      <c r="A6" s="188" t="s">
        <v>129</v>
      </c>
    </row>
    <row r="7" spans="1:6" ht="21">
      <c r="A7" s="188"/>
    </row>
    <row r="8" spans="1:6" ht="21">
      <c r="A8" s="188" t="s">
        <v>271</v>
      </c>
    </row>
    <row r="9" spans="1:6" ht="56.25" customHeight="1">
      <c r="A9" s="91"/>
    </row>
    <row r="10" spans="1:6" ht="23.4">
      <c r="A10" s="91" t="s">
        <v>310</v>
      </c>
    </row>
    <row r="11" spans="1:6" ht="51" customHeight="1">
      <c r="A11" s="91"/>
    </row>
    <row r="12" spans="1:6" ht="23.4">
      <c r="A12" s="91" t="s">
        <v>272</v>
      </c>
      <c r="E12" s="73"/>
      <c r="F12" s="73" t="s">
        <v>51</v>
      </c>
    </row>
    <row r="14" spans="1:6" ht="23.4">
      <c r="A14" s="91" t="s">
        <v>203</v>
      </c>
      <c r="B14" s="73" t="s">
        <v>273</v>
      </c>
      <c r="C14" s="73"/>
      <c r="E14" s="73"/>
    </row>
    <row r="15" spans="1:6" ht="56.25" customHeight="1"/>
    <row r="16" spans="1:6" ht="23.4">
      <c r="A16" s="91" t="s">
        <v>274</v>
      </c>
      <c r="E16" s="73"/>
      <c r="F16" s="73" t="s">
        <v>27</v>
      </c>
    </row>
    <row r="18" spans="1:8" ht="23.4">
      <c r="A18" s="91" t="s">
        <v>203</v>
      </c>
      <c r="B18" s="73" t="s">
        <v>282</v>
      </c>
      <c r="C18" s="73"/>
      <c r="E18" s="73"/>
    </row>
    <row r="19" spans="1:8" ht="68.25" customHeight="1"/>
    <row r="20" spans="1:8" ht="23.4">
      <c r="A20" s="91"/>
      <c r="B20" s="91" t="s">
        <v>275</v>
      </c>
      <c r="E20" s="73"/>
      <c r="F20" s="73"/>
    </row>
    <row r="21" spans="1:8" ht="40.5" customHeight="1"/>
    <row r="22" spans="1:8" ht="23.4">
      <c r="A22" s="91"/>
      <c r="E22" s="73"/>
      <c r="F22" s="73"/>
      <c r="H22" s="73" t="s">
        <v>276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2:K32"/>
  <sheetViews>
    <sheetView zoomScaleNormal="100" workbookViewId="0">
      <selection activeCell="E10" sqref="E10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236</v>
      </c>
    </row>
    <row r="7" spans="1:11" ht="19.2">
      <c r="B7" s="58" t="s">
        <v>129</v>
      </c>
    </row>
    <row r="8" spans="1:11" ht="19.2">
      <c r="B8" s="59"/>
    </row>
    <row r="9" spans="1:11" ht="33" customHeight="1">
      <c r="B9" s="59" t="s">
        <v>130</v>
      </c>
    </row>
    <row r="10" spans="1:11" ht="45.75" customHeight="1"/>
    <row r="11" spans="1:11" ht="34.5" customHeight="1">
      <c r="B11" s="73" t="s">
        <v>131</v>
      </c>
    </row>
    <row r="12" spans="1:11" ht="34.5" customHeight="1">
      <c r="B12" s="230">
        <v>46013</v>
      </c>
      <c r="C12" s="230"/>
      <c r="D12" s="230"/>
    </row>
    <row r="13" spans="1:11" ht="30" customHeight="1"/>
    <row r="14" spans="1:11" ht="51" customHeight="1" thickBot="1">
      <c r="A14" s="83" t="s">
        <v>132</v>
      </c>
      <c r="B14" s="81" t="s">
        <v>307</v>
      </c>
      <c r="C14" s="81"/>
      <c r="D14" s="81"/>
      <c r="E14" s="82"/>
      <c r="F14" s="150">
        <v>1</v>
      </c>
      <c r="G14" s="81" t="s">
        <v>325</v>
      </c>
      <c r="K14" s="81" t="s">
        <v>307</v>
      </c>
    </row>
    <row r="15" spans="1:11" ht="51" customHeight="1" thickTop="1" thickBot="1">
      <c r="A15" s="83" t="s">
        <v>192</v>
      </c>
      <c r="B15" s="81"/>
      <c r="C15" s="81"/>
      <c r="D15" s="82"/>
      <c r="E15" s="82"/>
      <c r="F15" s="81"/>
      <c r="G15" s="81"/>
    </row>
    <row r="16" spans="1:11" ht="51" customHeight="1" thickTop="1" thickBot="1">
      <c r="A16" s="83" t="s">
        <v>193</v>
      </c>
      <c r="B16" s="81"/>
      <c r="C16" s="81"/>
      <c r="D16" s="82"/>
      <c r="E16" s="82"/>
      <c r="F16" s="81"/>
      <c r="G16" s="81"/>
      <c r="K16" s="81" t="s">
        <v>196</v>
      </c>
    </row>
    <row r="17" spans="1:11" ht="51" customHeight="1" thickTop="1" thickBot="1">
      <c r="A17" s="83" t="s">
        <v>194</v>
      </c>
      <c r="B17" s="81"/>
      <c r="C17" s="81"/>
      <c r="D17" s="82"/>
      <c r="E17" s="82"/>
      <c r="F17" s="81"/>
      <c r="G17" s="81"/>
      <c r="K17" s="81" t="s">
        <v>207</v>
      </c>
    </row>
    <row r="18" spans="1:11" ht="29.4" thickTop="1" thickBot="1">
      <c r="K18" s="81" t="s">
        <v>296</v>
      </c>
    </row>
    <row r="19" spans="1:11" ht="21.6" thickTop="1">
      <c r="K19" t="s">
        <v>308</v>
      </c>
    </row>
    <row r="22" spans="1:11" ht="28.2">
      <c r="B22" s="77" t="s">
        <v>133</v>
      </c>
    </row>
    <row r="27" spans="1:11" ht="19.2">
      <c r="B27" s="59"/>
    </row>
    <row r="30" spans="1:11" ht="21">
      <c r="E30" s="68" t="s">
        <v>134</v>
      </c>
    </row>
    <row r="32" spans="1:11" ht="16.2">
      <c r="E32" s="69" t="s">
        <v>135</v>
      </c>
    </row>
  </sheetData>
  <mergeCells count="2">
    <mergeCell ref="F2:G2"/>
    <mergeCell ref="B12:D12"/>
  </mergeCells>
  <phoneticPr fontId="1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2:K33"/>
  <sheetViews>
    <sheetView topLeftCell="A3" zoomScaleNormal="100" workbookViewId="0">
      <selection activeCell="F15" sqref="F15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257</v>
      </c>
    </row>
    <row r="7" spans="1:11" ht="19.2">
      <c r="B7" s="58" t="s">
        <v>129</v>
      </c>
    </row>
    <row r="8" spans="1:11" ht="19.2">
      <c r="B8" s="59"/>
    </row>
    <row r="9" spans="1:11" ht="33" customHeight="1">
      <c r="B9" s="59" t="s">
        <v>130</v>
      </c>
    </row>
    <row r="10" spans="1:11" ht="45.75" customHeight="1"/>
    <row r="11" spans="1:11" ht="34.5" customHeight="1">
      <c r="B11" s="73" t="s">
        <v>131</v>
      </c>
    </row>
    <row r="12" spans="1:11" ht="34.5" customHeight="1">
      <c r="B12" s="230">
        <v>45932</v>
      </c>
      <c r="C12" s="230"/>
      <c r="D12" s="230"/>
    </row>
    <row r="13" spans="1:11" ht="30" customHeight="1"/>
    <row r="14" spans="1:11" ht="51" customHeight="1" thickBot="1">
      <c r="A14" s="83" t="s">
        <v>132</v>
      </c>
      <c r="B14" s="81" t="s">
        <v>256</v>
      </c>
      <c r="C14" s="81"/>
      <c r="D14" s="81"/>
      <c r="E14" s="82"/>
      <c r="F14" s="81">
        <v>30</v>
      </c>
      <c r="G14" s="81" t="s">
        <v>65</v>
      </c>
      <c r="K14" s="81" t="s">
        <v>215</v>
      </c>
    </row>
    <row r="15" spans="1:11" ht="51" customHeight="1" thickTop="1" thickBot="1">
      <c r="A15" s="83"/>
      <c r="B15" s="81"/>
      <c r="C15" s="81"/>
      <c r="D15" s="82"/>
      <c r="E15" s="82"/>
      <c r="F15" s="81"/>
      <c r="G15" s="81"/>
    </row>
    <row r="16" spans="1:11" ht="29.4" thickTop="1" thickBot="1">
      <c r="B16" s="73"/>
      <c r="K16" s="81"/>
    </row>
    <row r="17" spans="2:11" ht="28.8" thickTop="1">
      <c r="B17" s="98"/>
      <c r="K17" s="92"/>
    </row>
    <row r="18" spans="2:11" ht="28.2">
      <c r="B18" s="98"/>
      <c r="K18" s="92"/>
    </row>
    <row r="19" spans="2:11" ht="28.2">
      <c r="K19" s="92"/>
    </row>
    <row r="23" spans="2:11" ht="28.2">
      <c r="B23" s="77" t="s">
        <v>133</v>
      </c>
    </row>
    <row r="28" spans="2:11" ht="19.2">
      <c r="B28" s="59"/>
    </row>
    <row r="31" spans="2:11" ht="21">
      <c r="E31" s="68" t="s">
        <v>134</v>
      </c>
    </row>
    <row r="33" spans="5:5" ht="16.2">
      <c r="E33" s="69" t="s">
        <v>135</v>
      </c>
    </row>
  </sheetData>
  <mergeCells count="2">
    <mergeCell ref="F2:G2"/>
    <mergeCell ref="B12:D12"/>
  </mergeCells>
  <phoneticPr fontId="1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FF693-0295-43E2-B47D-F2783A878734}">
  <sheetPr codeName="Sheet13">
    <tabColor rgb="FF00B050"/>
  </sheetPr>
  <dimension ref="A2:K33"/>
  <sheetViews>
    <sheetView zoomScaleNormal="100" workbookViewId="0">
      <selection activeCell="G9" sqref="G9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245</v>
      </c>
    </row>
    <row r="7" spans="1:11" ht="19.2">
      <c r="B7" s="58" t="s">
        <v>129</v>
      </c>
    </row>
    <row r="8" spans="1:11" ht="19.2">
      <c r="B8" s="59"/>
    </row>
    <row r="9" spans="1:11" ht="33" customHeight="1">
      <c r="B9" s="59" t="s">
        <v>130</v>
      </c>
    </row>
    <row r="10" spans="1:11" ht="45.75" customHeight="1"/>
    <row r="11" spans="1:11" ht="34.5" customHeight="1">
      <c r="B11" s="73" t="s">
        <v>131</v>
      </c>
    </row>
    <row r="12" spans="1:11" ht="34.5" customHeight="1">
      <c r="B12" s="230">
        <v>45638</v>
      </c>
      <c r="C12" s="230"/>
      <c r="D12" s="230"/>
    </row>
    <row r="13" spans="1:11" ht="30" customHeight="1"/>
    <row r="14" spans="1:11" ht="51" customHeight="1" thickBot="1">
      <c r="A14" s="83" t="s">
        <v>132</v>
      </c>
      <c r="B14" s="81" t="s">
        <v>256</v>
      </c>
      <c r="C14" s="81"/>
      <c r="D14" s="81"/>
      <c r="E14" s="82"/>
      <c r="F14" s="81">
        <v>10</v>
      </c>
      <c r="G14" s="81" t="s">
        <v>65</v>
      </c>
      <c r="K14" s="81" t="s">
        <v>215</v>
      </c>
    </row>
    <row r="15" spans="1:11" ht="51" customHeight="1" thickTop="1" thickBot="1">
      <c r="A15" s="83"/>
      <c r="B15" s="81"/>
      <c r="C15" s="81"/>
      <c r="D15" s="82"/>
      <c r="E15" s="82"/>
      <c r="F15" s="81"/>
      <c r="G15" s="81"/>
    </row>
    <row r="16" spans="1:11" ht="29.4" thickTop="1" thickBot="1">
      <c r="B16" s="73"/>
      <c r="K16" s="81"/>
    </row>
    <row r="17" spans="2:11" ht="28.8" thickTop="1">
      <c r="B17" s="98"/>
      <c r="K17" s="92"/>
    </row>
    <row r="18" spans="2:11" ht="28.2">
      <c r="B18" s="98"/>
      <c r="K18" s="92"/>
    </row>
    <row r="19" spans="2:11" ht="28.2">
      <c r="K19" s="92"/>
    </row>
    <row r="23" spans="2:11" ht="28.2">
      <c r="B23" s="77" t="s">
        <v>133</v>
      </c>
    </row>
    <row r="28" spans="2:11" ht="19.2">
      <c r="B28" s="59"/>
    </row>
    <row r="31" spans="2:11" ht="21">
      <c r="E31" s="68" t="s">
        <v>134</v>
      </c>
    </row>
    <row r="33" spans="5:5" ht="16.2">
      <c r="E33" s="69" t="s">
        <v>135</v>
      </c>
    </row>
  </sheetData>
  <mergeCells count="2">
    <mergeCell ref="F2:G2"/>
    <mergeCell ref="B12:D12"/>
  </mergeCells>
  <phoneticPr fontId="1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F10D-AFA0-4A55-9FD1-5777982CE1DF}">
  <sheetPr codeName="Sheet22">
    <tabColor rgb="FF00B050"/>
  </sheetPr>
  <dimension ref="A2:K32"/>
  <sheetViews>
    <sheetView zoomScaleNormal="100" workbookViewId="0">
      <selection activeCell="G15" sqref="G15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1:11" ht="19.2">
      <c r="F2" s="226">
        <f ca="1">TODAY()</f>
        <v>46031</v>
      </c>
      <c r="G2" s="226"/>
    </row>
    <row r="3" spans="1:11" ht="30">
      <c r="B3" s="72" t="s">
        <v>285</v>
      </c>
    </row>
    <row r="7" spans="1:11" ht="19.2">
      <c r="B7" s="58" t="s">
        <v>129</v>
      </c>
    </row>
    <row r="8" spans="1:11" ht="19.2">
      <c r="B8" s="59"/>
    </row>
    <row r="9" spans="1:11" ht="33" customHeight="1">
      <c r="B9" s="59" t="s">
        <v>130</v>
      </c>
    </row>
    <row r="10" spans="1:11" ht="45.75" customHeight="1">
      <c r="B10" s="58"/>
    </row>
    <row r="11" spans="1:11" ht="34.5" customHeight="1">
      <c r="B11" s="73" t="s">
        <v>131</v>
      </c>
    </row>
    <row r="12" spans="1:11" ht="34.5" customHeight="1">
      <c r="B12" s="230">
        <v>45902</v>
      </c>
      <c r="C12" s="230"/>
      <c r="D12" s="230"/>
    </row>
    <row r="13" spans="1:11" ht="30" customHeight="1"/>
    <row r="14" spans="1:11" ht="51" customHeight="1" thickBot="1">
      <c r="A14" s="83" t="s">
        <v>132</v>
      </c>
      <c r="B14" s="81" t="s">
        <v>312</v>
      </c>
      <c r="C14" s="81"/>
      <c r="D14" s="81"/>
      <c r="E14" s="204"/>
      <c r="F14" s="150">
        <v>24</v>
      </c>
      <c r="G14" s="81" t="s">
        <v>25</v>
      </c>
      <c r="K14" s="81" t="s">
        <v>195</v>
      </c>
    </row>
    <row r="15" spans="1:11" ht="51" customHeight="1" thickTop="1" thickBot="1">
      <c r="A15" s="83" t="s">
        <v>192</v>
      </c>
      <c r="B15" s="81"/>
      <c r="C15" s="81"/>
      <c r="D15" s="81"/>
      <c r="E15" s="204"/>
      <c r="F15" s="150"/>
      <c r="G15" s="81"/>
    </row>
    <row r="16" spans="1:11" ht="51" customHeight="1" thickTop="1" thickBot="1">
      <c r="A16" s="83" t="s">
        <v>161</v>
      </c>
      <c r="B16" s="81"/>
      <c r="C16" s="81"/>
      <c r="D16" s="82"/>
      <c r="E16" s="204"/>
      <c r="F16" s="150"/>
      <c r="G16" s="81"/>
      <c r="K16" s="81" t="s">
        <v>196</v>
      </c>
    </row>
    <row r="17" spans="1:11" ht="51" customHeight="1" thickTop="1" thickBot="1">
      <c r="A17" s="83" t="s">
        <v>162</v>
      </c>
      <c r="B17" s="81"/>
      <c r="C17" s="81"/>
      <c r="D17" s="82"/>
      <c r="E17" s="204"/>
      <c r="F17" s="150"/>
      <c r="G17" s="81"/>
    </row>
    <row r="18" spans="1:11" ht="29.4" thickTop="1" thickBot="1">
      <c r="B18" s="192"/>
      <c r="K18" s="81" t="s">
        <v>207</v>
      </c>
    </row>
    <row r="19" spans="1:11" ht="16.8" thickTop="1">
      <c r="B19" s="192"/>
    </row>
    <row r="22" spans="1:11" ht="28.2">
      <c r="B22" s="77" t="s">
        <v>133</v>
      </c>
    </row>
    <row r="27" spans="1:11" ht="19.2">
      <c r="B27" s="59"/>
    </row>
    <row r="30" spans="1:11" ht="21">
      <c r="E30" s="68" t="s">
        <v>134</v>
      </c>
    </row>
    <row r="32" spans="1:11" ht="16.2">
      <c r="E32" s="69" t="s">
        <v>135</v>
      </c>
    </row>
  </sheetData>
  <mergeCells count="2">
    <mergeCell ref="F2:G2"/>
    <mergeCell ref="B12:D12"/>
  </mergeCells>
  <phoneticPr fontId="1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0.39997558519241921"/>
  </sheetPr>
  <dimension ref="B2:P34"/>
  <sheetViews>
    <sheetView zoomScaleNormal="100" workbookViewId="0">
      <selection activeCell="B11" sqref="B11"/>
    </sheetView>
  </sheetViews>
  <sheetFormatPr defaultRowHeight="13.2"/>
  <cols>
    <col min="1" max="1" width="3" customWidth="1"/>
    <col min="2" max="2" width="21.44140625" bestFit="1" customWidth="1"/>
    <col min="5" max="5" width="14.44140625" bestFit="1" customWidth="1"/>
    <col min="6" max="6" width="12.77734375" customWidth="1"/>
    <col min="7" max="7" width="13.109375" customWidth="1"/>
  </cols>
  <sheetData>
    <row r="2" spans="2:16" ht="19.2">
      <c r="F2" s="226">
        <f ca="1">TODAY()</f>
        <v>46031</v>
      </c>
      <c r="G2" s="226"/>
    </row>
    <row r="3" spans="2:16" ht="30">
      <c r="B3" s="72" t="s">
        <v>219</v>
      </c>
    </row>
    <row r="6" spans="2:16" ht="19.2">
      <c r="B6" s="58" t="s">
        <v>129</v>
      </c>
    </row>
    <row r="7" spans="2:16" ht="19.2">
      <c r="B7" s="59"/>
    </row>
    <row r="8" spans="2:16" ht="33" customHeight="1">
      <c r="B8" s="59" t="s">
        <v>198</v>
      </c>
    </row>
    <row r="10" spans="2:16" ht="34.5" customHeight="1">
      <c r="B10" s="227">
        <v>45520</v>
      </c>
      <c r="C10" s="227"/>
      <c r="D10" s="94" t="s">
        <v>220</v>
      </c>
      <c r="I10" s="117"/>
      <c r="J10" s="118"/>
      <c r="K10" s="118"/>
      <c r="L10" s="118"/>
      <c r="M10" s="118"/>
      <c r="N10" s="118"/>
      <c r="O10" s="118"/>
      <c r="P10" s="118"/>
    </row>
    <row r="12" spans="2:16" ht="41.25" customHeight="1">
      <c r="B12" s="90" t="s">
        <v>229</v>
      </c>
      <c r="C12" s="75"/>
      <c r="D12" s="75"/>
      <c r="E12" s="86"/>
      <c r="F12" s="99">
        <v>23</v>
      </c>
      <c r="G12" s="88" t="s">
        <v>178</v>
      </c>
      <c r="H12" s="78"/>
      <c r="I12" s="69"/>
    </row>
    <row r="14" spans="2:16" ht="41.25" customHeight="1">
      <c r="B14" s="92"/>
      <c r="E14" s="92"/>
      <c r="F14" s="120"/>
      <c r="G14" s="92"/>
      <c r="I14" s="228"/>
      <c r="J14" s="74" t="s">
        <v>230</v>
      </c>
    </row>
    <row r="15" spans="2:16" ht="30" customHeight="1">
      <c r="B15" t="s">
        <v>203</v>
      </c>
      <c r="C15" s="136"/>
      <c r="I15" s="229"/>
    </row>
    <row r="16" spans="2:16" ht="41.25" customHeight="1">
      <c r="B16" s="92"/>
      <c r="C16" s="77"/>
      <c r="E16" s="92"/>
      <c r="F16" s="120"/>
      <c r="G16" s="92"/>
      <c r="I16" s="229"/>
      <c r="J16" s="74"/>
    </row>
    <row r="18" spans="2:16" ht="41.25" customHeight="1">
      <c r="B18" s="92"/>
      <c r="E18" s="92"/>
      <c r="F18" s="120"/>
      <c r="G18" s="92"/>
      <c r="J18" s="74"/>
    </row>
    <row r="20" spans="2:16" ht="41.25" customHeight="1">
      <c r="B20" s="142" t="s">
        <v>221</v>
      </c>
      <c r="E20" s="92"/>
      <c r="F20" s="120"/>
      <c r="G20" s="92"/>
      <c r="I20" s="69"/>
    </row>
    <row r="21" spans="2:16" ht="13.5" customHeight="1"/>
    <row r="22" spans="2:16" ht="41.25" customHeight="1">
      <c r="B22" s="77" t="s">
        <v>133</v>
      </c>
      <c r="E22" s="92"/>
      <c r="F22" s="120"/>
      <c r="G22" s="92"/>
      <c r="P22" s="74"/>
    </row>
    <row r="23" spans="2:16" ht="13.8" thickBot="1"/>
    <row r="24" spans="2:16" ht="42" customHeight="1" thickBot="1">
      <c r="B24" s="142"/>
      <c r="E24" s="68" t="s">
        <v>134</v>
      </c>
      <c r="F24" s="122"/>
      <c r="G24" s="92"/>
      <c r="I24" s="113"/>
      <c r="J24" s="119"/>
      <c r="K24" s="114"/>
      <c r="L24" s="115"/>
      <c r="O24" s="116"/>
      <c r="P24" s="74"/>
    </row>
    <row r="26" spans="2:16" ht="28.2">
      <c r="B26" s="77"/>
      <c r="E26" s="69" t="s">
        <v>222</v>
      </c>
    </row>
    <row r="27" spans="2:16" ht="16.2">
      <c r="E27" s="69" t="s">
        <v>223</v>
      </c>
    </row>
    <row r="28" spans="2:16" ht="16.2">
      <c r="E28" s="69" t="s">
        <v>224</v>
      </c>
    </row>
    <row r="29" spans="2:16" ht="21">
      <c r="B29" s="87"/>
    </row>
    <row r="32" spans="2:16" ht="21">
      <c r="E32" s="68"/>
    </row>
    <row r="34" spans="2:5" ht="19.2">
      <c r="B34" s="59"/>
      <c r="E34" s="69"/>
    </row>
  </sheetData>
  <mergeCells count="3">
    <mergeCell ref="F2:G2"/>
    <mergeCell ref="B10:C10"/>
    <mergeCell ref="I14:I16"/>
  </mergeCells>
  <phoneticPr fontId="1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0000"/>
  </sheetPr>
  <dimension ref="B2:H34"/>
  <sheetViews>
    <sheetView topLeftCell="B4" workbookViewId="0">
      <selection activeCell="O26" sqref="O26"/>
    </sheetView>
  </sheetViews>
  <sheetFormatPr defaultRowHeight="13.2"/>
  <cols>
    <col min="1" max="1" width="5.44140625" customWidth="1"/>
    <col min="2" max="2" width="16.33203125" bestFit="1" customWidth="1"/>
    <col min="5" max="5" width="14.44140625" bestFit="1" customWidth="1"/>
    <col min="7" max="7" width="14" customWidth="1"/>
  </cols>
  <sheetData>
    <row r="2" spans="2:8" ht="19.2">
      <c r="F2" s="226">
        <f ca="1">TODAY()</f>
        <v>46031</v>
      </c>
      <c r="G2" s="226"/>
    </row>
    <row r="3" spans="2:8" ht="30">
      <c r="B3" s="72" t="s">
        <v>136</v>
      </c>
    </row>
    <row r="7" spans="2:8" ht="19.2">
      <c r="B7" s="58" t="s">
        <v>129</v>
      </c>
    </row>
    <row r="8" spans="2:8" ht="19.2">
      <c r="B8" s="59"/>
    </row>
    <row r="9" spans="2:8" ht="33" customHeight="1">
      <c r="B9" s="59" t="s">
        <v>188</v>
      </c>
    </row>
    <row r="11" spans="2:8" ht="34.5" customHeight="1">
      <c r="B11" s="73"/>
    </row>
    <row r="12" spans="2:8" ht="34.5" customHeight="1">
      <c r="B12" s="234">
        <v>44614</v>
      </c>
      <c r="C12" s="235"/>
      <c r="D12" s="234"/>
      <c r="E12" s="235"/>
      <c r="F12" s="234"/>
      <c r="G12" s="235"/>
    </row>
    <row r="13" spans="2:8" ht="34.5" customHeight="1">
      <c r="B13" s="96"/>
      <c r="C13" s="96"/>
      <c r="E13" s="96"/>
      <c r="F13" s="96"/>
    </row>
    <row r="14" spans="2:8" ht="34.5" customHeight="1">
      <c r="B14" s="96"/>
      <c r="C14" s="96"/>
      <c r="E14" s="96"/>
      <c r="F14" s="96"/>
    </row>
    <row r="16" spans="2:8" ht="48.75" customHeight="1">
      <c r="B16" s="74" t="s">
        <v>137</v>
      </c>
      <c r="C16" s="75"/>
      <c r="D16" s="75"/>
      <c r="E16" s="75"/>
      <c r="F16" s="75"/>
      <c r="G16" s="76"/>
      <c r="H16" s="78"/>
    </row>
    <row r="21" spans="2:5" ht="28.2">
      <c r="B21" s="77" t="s">
        <v>133</v>
      </c>
    </row>
    <row r="24" spans="2:5" ht="23.4">
      <c r="B24" s="79"/>
    </row>
    <row r="29" spans="2:5" ht="19.2">
      <c r="B29" s="59"/>
    </row>
    <row r="32" spans="2:5" ht="21">
      <c r="E32" s="68" t="s">
        <v>134</v>
      </c>
    </row>
    <row r="34" spans="5:5" ht="16.2">
      <c r="E34" s="69" t="s">
        <v>135</v>
      </c>
    </row>
  </sheetData>
  <mergeCells count="4">
    <mergeCell ref="F2:G2"/>
    <mergeCell ref="B12:C12"/>
    <mergeCell ref="D12:E12"/>
    <mergeCell ref="F12:G12"/>
  </mergeCells>
  <phoneticPr fontId="1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FF00"/>
  </sheetPr>
  <dimension ref="B2:S34"/>
  <sheetViews>
    <sheetView topLeftCell="A13" zoomScaleNormal="100" workbookViewId="0">
      <selection activeCell="M24" sqref="M24"/>
    </sheetView>
  </sheetViews>
  <sheetFormatPr defaultRowHeight="13.2"/>
  <cols>
    <col min="1" max="1" width="3" customWidth="1"/>
    <col min="2" max="2" width="21.44140625" bestFit="1" customWidth="1"/>
    <col min="5" max="5" width="14.44140625" bestFit="1" customWidth="1"/>
    <col min="6" max="6" width="12.77734375" customWidth="1"/>
    <col min="7" max="7" width="13.109375" customWidth="1"/>
  </cols>
  <sheetData>
    <row r="2" spans="2:19" ht="19.2">
      <c r="F2" s="226">
        <f ca="1">TODAY()</f>
        <v>46031</v>
      </c>
      <c r="G2" s="226"/>
    </row>
    <row r="3" spans="2:19" ht="30">
      <c r="B3" s="72" t="s">
        <v>136</v>
      </c>
    </row>
    <row r="6" spans="2:19" ht="19.2">
      <c r="B6" s="58" t="s">
        <v>129</v>
      </c>
    </row>
    <row r="7" spans="2:19" ht="19.2">
      <c r="B7" s="59"/>
    </row>
    <row r="8" spans="2:19" ht="33" customHeight="1">
      <c r="B8" s="59" t="s">
        <v>130</v>
      </c>
    </row>
    <row r="10" spans="2:19" ht="34.5" customHeight="1">
      <c r="B10" s="230">
        <v>45297</v>
      </c>
      <c r="C10" s="230"/>
      <c r="I10" s="117" t="s">
        <v>138</v>
      </c>
      <c r="J10" s="118"/>
      <c r="K10" s="118"/>
      <c r="L10" s="118"/>
      <c r="M10" s="118"/>
      <c r="N10" s="118"/>
      <c r="O10" s="118"/>
      <c r="P10" s="118"/>
    </row>
    <row r="11" spans="2:19" ht="9" customHeight="1"/>
    <row r="12" spans="2:19" ht="41.25" customHeight="1">
      <c r="B12" s="74" t="s">
        <v>139</v>
      </c>
      <c r="C12" s="75"/>
      <c r="D12" s="75"/>
      <c r="E12" s="86"/>
      <c r="F12" s="99"/>
      <c r="G12" s="88" t="s">
        <v>128</v>
      </c>
      <c r="H12" s="78"/>
      <c r="I12" s="69" t="s">
        <v>140</v>
      </c>
    </row>
    <row r="13" spans="2:19" ht="9" customHeight="1"/>
    <row r="14" spans="2:19" ht="41.25" customHeight="1">
      <c r="B14" s="74" t="s">
        <v>141</v>
      </c>
      <c r="C14" s="75"/>
      <c r="D14" s="75"/>
      <c r="E14" s="86"/>
      <c r="F14" s="86"/>
      <c r="G14" s="88" t="s">
        <v>128</v>
      </c>
      <c r="I14" s="228" t="s">
        <v>142</v>
      </c>
      <c r="O14" s="239" t="s">
        <v>225</v>
      </c>
      <c r="P14" s="239"/>
      <c r="Q14" s="239"/>
      <c r="R14" s="239"/>
    </row>
    <row r="15" spans="2:19" ht="9" customHeight="1">
      <c r="F15" s="92"/>
      <c r="I15" s="229"/>
    </row>
    <row r="16" spans="2:19" ht="41.25" customHeight="1">
      <c r="B16" s="74" t="s">
        <v>143</v>
      </c>
      <c r="C16" s="75"/>
      <c r="D16" s="75"/>
      <c r="E16" s="86"/>
      <c r="F16" s="86"/>
      <c r="G16" s="88" t="s">
        <v>128</v>
      </c>
      <c r="I16" s="229"/>
      <c r="O16" s="145"/>
      <c r="P16" s="145"/>
      <c r="Q16" s="145"/>
      <c r="R16" s="144" t="s">
        <v>226</v>
      </c>
      <c r="S16" s="144" t="s">
        <v>227</v>
      </c>
    </row>
    <row r="17" spans="2:19" ht="9" customHeight="1"/>
    <row r="18" spans="2:19" ht="41.25" customHeight="1">
      <c r="B18" s="74" t="s">
        <v>144</v>
      </c>
      <c r="C18" s="75"/>
      <c r="D18" s="75"/>
      <c r="E18" s="86"/>
      <c r="F18" s="86"/>
      <c r="G18" s="88" t="s">
        <v>128</v>
      </c>
      <c r="P18" s="86">
        <v>6</v>
      </c>
      <c r="R18" s="146">
        <v>3</v>
      </c>
      <c r="S18" s="146">
        <v>0</v>
      </c>
    </row>
    <row r="19" spans="2:19" ht="9" customHeight="1">
      <c r="R19" s="147"/>
      <c r="S19" s="147"/>
    </row>
    <row r="20" spans="2:19" ht="41.25" customHeight="1">
      <c r="B20" s="74" t="s">
        <v>145</v>
      </c>
      <c r="C20" s="75"/>
      <c r="D20" s="75"/>
      <c r="E20" s="86"/>
      <c r="F20" s="86"/>
      <c r="G20" s="88" t="s">
        <v>128</v>
      </c>
      <c r="I20" s="69" t="s">
        <v>146</v>
      </c>
      <c r="P20" s="86">
        <v>2</v>
      </c>
      <c r="R20" s="146">
        <v>1</v>
      </c>
      <c r="S20" s="148"/>
    </row>
    <row r="21" spans="2:19" ht="9" customHeight="1">
      <c r="B21" s="92"/>
      <c r="R21" s="147"/>
      <c r="S21" s="147"/>
    </row>
    <row r="22" spans="2:19" ht="41.25" customHeight="1">
      <c r="B22" s="74" t="s">
        <v>147</v>
      </c>
      <c r="C22" s="75"/>
      <c r="D22" s="75"/>
      <c r="E22" s="86"/>
      <c r="F22" s="155"/>
      <c r="G22" s="88" t="s">
        <v>128</v>
      </c>
      <c r="P22" s="155">
        <v>2</v>
      </c>
      <c r="R22" s="156">
        <v>1</v>
      </c>
      <c r="S22" s="146">
        <v>0</v>
      </c>
    </row>
    <row r="23" spans="2:19" ht="9" customHeight="1"/>
    <row r="24" spans="2:19" ht="41.25" customHeight="1">
      <c r="B24" s="74" t="s">
        <v>204</v>
      </c>
      <c r="C24" s="75"/>
      <c r="D24" s="75"/>
      <c r="E24" s="75"/>
      <c r="F24" s="86"/>
      <c r="G24" s="88" t="s">
        <v>128</v>
      </c>
      <c r="H24" s="78"/>
      <c r="I24" s="69" t="s">
        <v>205</v>
      </c>
      <c r="O24" t="s">
        <v>228</v>
      </c>
      <c r="P24" s="238" t="s">
        <v>233</v>
      </c>
      <c r="Q24" s="238"/>
      <c r="R24" s="238"/>
    </row>
    <row r="25" spans="2:19" ht="9" customHeight="1" thickBot="1"/>
    <row r="26" spans="2:19" ht="41.25" customHeight="1" thickBot="1">
      <c r="B26" s="125"/>
      <c r="C26" s="126"/>
      <c r="D26" s="126"/>
      <c r="E26" s="126"/>
      <c r="F26" s="124"/>
      <c r="G26" s="127" t="s">
        <v>128</v>
      </c>
      <c r="H26" s="78"/>
      <c r="I26" s="113" t="s">
        <v>149</v>
      </c>
      <c r="J26" s="119" t="s">
        <v>150</v>
      </c>
      <c r="K26" s="114"/>
      <c r="L26" s="115"/>
      <c r="O26" s="116" t="str">
        <f>IF(WEEKDAY($B$10)=2,"1",IF(WEEKDAY($B$10)=5,"1"," "))</f>
        <v xml:space="preserve"> </v>
      </c>
      <c r="P26" s="74" t="s">
        <v>206</v>
      </c>
    </row>
    <row r="28" spans="2:19" ht="54" customHeight="1">
      <c r="B28" s="77" t="s">
        <v>133</v>
      </c>
      <c r="J28" s="236" t="s">
        <v>185</v>
      </c>
      <c r="K28" s="237"/>
    </row>
    <row r="30" spans="2:19" ht="21">
      <c r="B30" s="87"/>
    </row>
    <row r="32" spans="2:19" ht="21">
      <c r="E32" s="68" t="s">
        <v>134</v>
      </c>
    </row>
    <row r="34" spans="2:5" ht="19.2">
      <c r="B34" s="59"/>
      <c r="E34" s="69" t="s">
        <v>135</v>
      </c>
    </row>
  </sheetData>
  <mergeCells count="6">
    <mergeCell ref="F2:G2"/>
    <mergeCell ref="B10:C10"/>
    <mergeCell ref="I14:I16"/>
    <mergeCell ref="J28:K28"/>
    <mergeCell ref="P24:R24"/>
    <mergeCell ref="O14:R1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FFFF00"/>
  </sheetPr>
  <dimension ref="B2:P34"/>
  <sheetViews>
    <sheetView zoomScaleNormal="100" workbookViewId="0">
      <selection activeCell="E13" sqref="E13"/>
    </sheetView>
  </sheetViews>
  <sheetFormatPr defaultRowHeight="13.2"/>
  <cols>
    <col min="1" max="1" width="3" customWidth="1"/>
    <col min="2" max="2" width="21.44140625" bestFit="1" customWidth="1"/>
    <col min="5" max="5" width="14.44140625" bestFit="1" customWidth="1"/>
    <col min="6" max="6" width="12.77734375" customWidth="1"/>
    <col min="7" max="7" width="13.109375" customWidth="1"/>
  </cols>
  <sheetData>
    <row r="2" spans="2:16" ht="19.2">
      <c r="F2" s="226">
        <f ca="1">TODAY()</f>
        <v>46031</v>
      </c>
      <c r="G2" s="226"/>
    </row>
    <row r="3" spans="2:16" ht="30">
      <c r="B3" s="72" t="s">
        <v>136</v>
      </c>
    </row>
    <row r="6" spans="2:16" ht="19.2">
      <c r="B6" s="58" t="s">
        <v>129</v>
      </c>
    </row>
    <row r="7" spans="2:16" ht="19.2">
      <c r="B7" s="59"/>
    </row>
    <row r="8" spans="2:16" ht="33" customHeight="1">
      <c r="B8" s="59" t="s">
        <v>198</v>
      </c>
    </row>
    <row r="10" spans="2:16" ht="34.5" customHeight="1">
      <c r="B10" s="230">
        <v>45437</v>
      </c>
      <c r="C10" s="230"/>
      <c r="D10" s="73"/>
      <c r="I10" s="117" t="s">
        <v>138</v>
      </c>
      <c r="J10" s="118"/>
      <c r="K10" s="118"/>
      <c r="L10" s="118"/>
      <c r="M10" s="118"/>
      <c r="N10" s="118"/>
      <c r="O10" s="118"/>
      <c r="P10" s="118"/>
    </row>
    <row r="12" spans="2:16" ht="41.25" customHeight="1">
      <c r="B12" s="74" t="s">
        <v>197</v>
      </c>
      <c r="C12" s="75"/>
      <c r="D12" s="75"/>
      <c r="E12" s="86"/>
      <c r="F12" s="99"/>
      <c r="G12" s="88" t="s">
        <v>178</v>
      </c>
      <c r="H12" s="78"/>
      <c r="I12" s="69"/>
    </row>
    <row r="14" spans="2:16" ht="41.25" customHeight="1">
      <c r="B14" s="74" t="s">
        <v>213</v>
      </c>
      <c r="C14" s="75"/>
      <c r="D14" s="75"/>
      <c r="E14" s="86"/>
      <c r="F14" s="99">
        <v>2</v>
      </c>
      <c r="G14" s="88" t="s">
        <v>178</v>
      </c>
      <c r="I14" s="228"/>
      <c r="J14" s="74" t="s">
        <v>197</v>
      </c>
    </row>
    <row r="15" spans="2:16" ht="30" customHeight="1">
      <c r="B15" t="s">
        <v>203</v>
      </c>
      <c r="C15" s="136"/>
      <c r="I15" s="229"/>
    </row>
    <row r="16" spans="2:16" ht="41.25" customHeight="1">
      <c r="B16" s="92"/>
      <c r="C16" s="77"/>
      <c r="E16" s="92"/>
      <c r="F16" s="120"/>
      <c r="G16" s="92"/>
      <c r="I16" s="229"/>
      <c r="J16" s="74" t="s">
        <v>213</v>
      </c>
    </row>
    <row r="18" spans="2:16" ht="41.25" customHeight="1">
      <c r="B18" s="92"/>
      <c r="E18" s="92"/>
      <c r="F18" s="120"/>
      <c r="G18" s="92"/>
      <c r="J18" s="74" t="s">
        <v>202</v>
      </c>
    </row>
    <row r="20" spans="2:16" ht="41.25" customHeight="1">
      <c r="B20" s="92"/>
      <c r="E20" s="92"/>
      <c r="F20" s="120"/>
      <c r="G20" s="92"/>
      <c r="I20" s="69"/>
    </row>
    <row r="21" spans="2:16" ht="13.5" customHeight="1">
      <c r="B21" s="92"/>
    </row>
    <row r="22" spans="2:16" ht="41.25" customHeight="1">
      <c r="B22" s="92"/>
      <c r="E22" s="92"/>
      <c r="F22" s="120"/>
      <c r="G22" s="92"/>
      <c r="P22" s="74" t="s">
        <v>148</v>
      </c>
    </row>
    <row r="23" spans="2:16" ht="13.8" thickBot="1"/>
    <row r="24" spans="2:16" ht="42" customHeight="1" thickBot="1">
      <c r="B24" s="121"/>
      <c r="F24" s="122"/>
      <c r="G24" s="92"/>
      <c r="I24" s="113" t="s">
        <v>149</v>
      </c>
      <c r="J24" s="119" t="s">
        <v>150</v>
      </c>
      <c r="K24" s="114"/>
      <c r="L24" s="115"/>
      <c r="O24" s="116" t="str">
        <f>IF(WEEKDAY($B$10)=2,"1",IF(WEEKDAY($B$10)=5,"1"," "))</f>
        <v xml:space="preserve"> </v>
      </c>
      <c r="P24" s="74" t="s">
        <v>151</v>
      </c>
    </row>
    <row r="26" spans="2:16" ht="28.2">
      <c r="B26" s="77" t="s">
        <v>133</v>
      </c>
    </row>
    <row r="29" spans="2:16" ht="21">
      <c r="B29" s="87"/>
    </row>
    <row r="32" spans="2:16" ht="21">
      <c r="E32" s="68" t="s">
        <v>134</v>
      </c>
    </row>
    <row r="34" spans="2:5" ht="19.2">
      <c r="B34" s="59"/>
      <c r="E34" s="69" t="s">
        <v>135</v>
      </c>
    </row>
  </sheetData>
  <mergeCells count="3">
    <mergeCell ref="F2:G2"/>
    <mergeCell ref="B10:C10"/>
    <mergeCell ref="I14:I16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2"/>
  <sheetViews>
    <sheetView workbookViewId="0">
      <selection activeCell="A2" sqref="A2"/>
    </sheetView>
  </sheetViews>
  <sheetFormatPr defaultRowHeight="13.2"/>
  <sheetData>
    <row r="2" spans="1:1">
      <c r="A2" t="s">
        <v>218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8353F-3A3F-411B-B0AD-8474F984190D}">
  <dimension ref="A1"/>
  <sheetViews>
    <sheetView workbookViewId="0">
      <selection activeCell="Q39" sqref="Q39"/>
    </sheetView>
  </sheetViews>
  <sheetFormatPr defaultRowHeight="13.2"/>
  <sheetData/>
  <phoneticPr fontId="1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1FBE-D029-43B0-A918-1F2C7BAC8825}">
  <dimension ref="A1"/>
  <sheetViews>
    <sheetView workbookViewId="0">
      <selection activeCell="A2" sqref="A2"/>
    </sheetView>
  </sheetViews>
  <sheetFormatPr defaultRowHeight="13.2"/>
  <sheetData/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43</vt:i4>
      </vt:variant>
    </vt:vector>
  </HeadingPairs>
  <TitlesOfParts>
    <vt:vector size="78" baseType="lpstr">
      <vt:lpstr>8年1月</vt:lpstr>
      <vt:lpstr>7年12月</vt:lpstr>
      <vt:lpstr>7年11月</vt:lpstr>
      <vt:lpstr>7年10月</vt:lpstr>
      <vt:lpstr>7年9月</vt:lpstr>
      <vt:lpstr>7年8月</vt:lpstr>
      <vt:lpstr>7年7月</vt:lpstr>
      <vt:lpstr>7年6月</vt:lpstr>
      <vt:lpstr>7年5月</vt:lpstr>
      <vt:lpstr>7年4月</vt:lpstr>
      <vt:lpstr>7年3月</vt:lpstr>
      <vt:lpstr>7年2月</vt:lpstr>
      <vt:lpstr>7年1月</vt:lpstr>
      <vt:lpstr>丸千(玉子)注文</vt:lpstr>
      <vt:lpstr>日能産業発注</vt:lpstr>
      <vt:lpstr>庭野追加</vt:lpstr>
      <vt:lpstr>大治追加</vt:lpstr>
      <vt:lpstr>八治追加 </vt:lpstr>
      <vt:lpstr>定貞追加 </vt:lpstr>
      <vt:lpstr>入船追加</vt:lpstr>
      <vt:lpstr>末広追加 </vt:lpstr>
      <vt:lpstr>東梅追加</vt:lpstr>
      <vt:lpstr>松武追加 </vt:lpstr>
      <vt:lpstr>中延追加</vt:lpstr>
      <vt:lpstr>庭野予約</vt:lpstr>
      <vt:lpstr>松武予約</vt:lpstr>
      <vt:lpstr>定貞予約</vt:lpstr>
      <vt:lpstr>大治予約</vt:lpstr>
      <vt:lpstr>アクティブ（カットわかめ）</vt:lpstr>
      <vt:lpstr>カットキャンセル</vt:lpstr>
      <vt:lpstr>紫金カット</vt:lpstr>
      <vt:lpstr>ファーム予約</vt:lpstr>
      <vt:lpstr>Sheet3</vt:lpstr>
      <vt:lpstr>Sheet2</vt:lpstr>
      <vt:lpstr>Sheet1</vt:lpstr>
      <vt:lpstr>'7年10月'!Print_Area</vt:lpstr>
      <vt:lpstr>'7年11月'!Print_Area</vt:lpstr>
      <vt:lpstr>'7年12月'!Print_Area</vt:lpstr>
      <vt:lpstr>'7年1月'!Print_Area</vt:lpstr>
      <vt:lpstr>'7年2月'!Print_Area</vt:lpstr>
      <vt:lpstr>'7年3月'!Print_Area</vt:lpstr>
      <vt:lpstr>'7年4月'!Print_Area</vt:lpstr>
      <vt:lpstr>'7年5月'!Print_Area</vt:lpstr>
      <vt:lpstr>'7年6月'!Print_Area</vt:lpstr>
      <vt:lpstr>'7年7月'!Print_Area</vt:lpstr>
      <vt:lpstr>'7年8月'!Print_Area</vt:lpstr>
      <vt:lpstr>'7年9月'!Print_Area</vt:lpstr>
      <vt:lpstr>'8年1月'!Print_Area</vt:lpstr>
      <vt:lpstr>'アクティブ（カットわかめ）'!Print_Area</vt:lpstr>
      <vt:lpstr>ファーム予約!Print_Area</vt:lpstr>
      <vt:lpstr>'丸千(玉子)注文'!Print_Area</vt:lpstr>
      <vt:lpstr>紫金カット!Print_Area</vt:lpstr>
      <vt:lpstr>'松武追加 '!Print_Area</vt:lpstr>
      <vt:lpstr>松武予約!Print_Area</vt:lpstr>
      <vt:lpstr>大治追加!Print_Area</vt:lpstr>
      <vt:lpstr>大治予約!Print_Area</vt:lpstr>
      <vt:lpstr>'定貞追加 '!Print_Area</vt:lpstr>
      <vt:lpstr>定貞予約!Print_Area</vt:lpstr>
      <vt:lpstr>庭野追加!Print_Area</vt:lpstr>
      <vt:lpstr>庭野予約!Print_Area</vt:lpstr>
      <vt:lpstr>東梅追加!Print_Area</vt:lpstr>
      <vt:lpstr>日能産業発注!Print_Area</vt:lpstr>
      <vt:lpstr>入船追加!Print_Area</vt:lpstr>
      <vt:lpstr>'八治追加 '!Print_Area</vt:lpstr>
      <vt:lpstr>'末広追加 '!Print_Area</vt:lpstr>
      <vt:lpstr>'7年10月'!Print_Titles</vt:lpstr>
      <vt:lpstr>'7年11月'!Print_Titles</vt:lpstr>
      <vt:lpstr>'7年12月'!Print_Titles</vt:lpstr>
      <vt:lpstr>'7年1月'!Print_Titles</vt:lpstr>
      <vt:lpstr>'7年2月'!Print_Titles</vt:lpstr>
      <vt:lpstr>'7年3月'!Print_Titles</vt:lpstr>
      <vt:lpstr>'7年4月'!Print_Titles</vt:lpstr>
      <vt:lpstr>'7年5月'!Print_Titles</vt:lpstr>
      <vt:lpstr>'7年6月'!Print_Titles</vt:lpstr>
      <vt:lpstr>'7年7月'!Print_Titles</vt:lpstr>
      <vt:lpstr>'7年8月'!Print_Titles</vt:lpstr>
      <vt:lpstr>'7年9月'!Print_Titles</vt:lpstr>
      <vt:lpstr>'8年1月'!Print_Titles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nanki</dc:creator>
  <cp:lastModifiedBy>user</cp:lastModifiedBy>
  <cp:revision/>
  <cp:lastPrinted>2026-01-03T05:01:26Z</cp:lastPrinted>
  <dcterms:created xsi:type="dcterms:W3CDTF">2016-04-03T17:27:01Z</dcterms:created>
  <dcterms:modified xsi:type="dcterms:W3CDTF">2026-01-09T06:14:15Z</dcterms:modified>
</cp:coreProperties>
</file>